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codeName="ThisWorkbook" autoCompressPictures="0"/>
  <bookViews>
    <workbookView xWindow="720" yWindow="600" windowWidth="21360" windowHeight="15520" tabRatio="817"/>
  </bookViews>
  <sheets>
    <sheet name="Principal T" sheetId="6" r:id="rId1"/>
    <sheet name="Agropecuario" sheetId="8" r:id="rId2"/>
    <sheet name="Construcción" sheetId="4" r:id="rId3"/>
    <sheet name="Ind.Manufacturera" sheetId="7" r:id="rId4"/>
    <sheet name="Comercio" sheetId="10" r:id="rId5"/>
    <sheet name="Servicios" sheetId="11" r:id="rId6"/>
    <sheet name="ENOE 1-14" sheetId="1" r:id="rId7"/>
    <sheet name="ENOE 1-14 Ocupación Informal " sheetId="30" r:id="rId8"/>
    <sheet name="Utilización ByS 2008" sheetId="27" r:id="rId9"/>
    <sheet name="Valores en precios 2014" sheetId="3" r:id="rId10"/>
    <sheet name="Efecto piramidado " sheetId="29" r:id="rId11"/>
    <sheet name="Informal y Formal " sheetId="32" r:id="rId12"/>
  </sheets>
  <externalReferences>
    <externalReference r:id="rId13"/>
  </externalReferenc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4" i="8" l="1"/>
  <c r="D13" i="8"/>
  <c r="D22" i="8"/>
  <c r="E22" i="8"/>
  <c r="F22" i="8"/>
  <c r="G22" i="8"/>
  <c r="H22" i="8"/>
  <c r="B22" i="8"/>
  <c r="B5" i="3"/>
  <c r="E19" i="3"/>
  <c r="B13" i="3"/>
  <c r="B45" i="3"/>
  <c r="B38" i="8"/>
  <c r="D25" i="8"/>
  <c r="H6" i="11"/>
  <c r="G6" i="11"/>
  <c r="F6" i="11"/>
  <c r="E6" i="11"/>
  <c r="H6" i="10"/>
  <c r="G6" i="10"/>
  <c r="F6" i="10"/>
  <c r="E6" i="10"/>
  <c r="D9" i="7"/>
  <c r="H6" i="7"/>
  <c r="G6" i="7"/>
  <c r="F6" i="7"/>
  <c r="E6" i="7"/>
  <c r="H6" i="4"/>
  <c r="G6" i="4"/>
  <c r="F6" i="4"/>
  <c r="E6" i="4"/>
  <c r="D9" i="4"/>
  <c r="E11" i="8"/>
  <c r="E16" i="8"/>
  <c r="H6" i="8"/>
  <c r="G6" i="8"/>
  <c r="F6" i="8"/>
  <c r="E6" i="8"/>
  <c r="H22" i="11"/>
  <c r="G22" i="11"/>
  <c r="G26" i="11"/>
  <c r="F22" i="11"/>
  <c r="E22" i="11"/>
  <c r="D22" i="11"/>
  <c r="H22" i="10"/>
  <c r="G22" i="10"/>
  <c r="F22" i="10"/>
  <c r="E22" i="10"/>
  <c r="D22" i="10"/>
  <c r="D23" i="10"/>
  <c r="H22" i="7"/>
  <c r="G22" i="7"/>
  <c r="F22" i="7"/>
  <c r="E22" i="7"/>
  <c r="B64" i="7"/>
  <c r="D22" i="7"/>
  <c r="H22" i="4"/>
  <c r="G22" i="4"/>
  <c r="F22" i="4"/>
  <c r="B86" i="4"/>
  <c r="E22" i="4"/>
  <c r="D22" i="4"/>
  <c r="I61" i="8"/>
  <c r="I60" i="8"/>
  <c r="I59" i="8"/>
  <c r="I58" i="8"/>
  <c r="I57" i="8"/>
  <c r="I56" i="8"/>
  <c r="I55" i="8"/>
  <c r="I54" i="8"/>
  <c r="I53" i="8"/>
  <c r="I52" i="8"/>
  <c r="I62" i="8"/>
  <c r="J8" i="32"/>
  <c r="J7" i="32"/>
  <c r="I8" i="32"/>
  <c r="I7" i="32"/>
  <c r="H8" i="32"/>
  <c r="H7" i="32"/>
  <c r="G8" i="32"/>
  <c r="G7" i="32"/>
  <c r="F8" i="32"/>
  <c r="F7" i="32"/>
  <c r="B64" i="11"/>
  <c r="B86" i="11"/>
  <c r="B64" i="10"/>
  <c r="B86" i="10"/>
  <c r="B86" i="7"/>
  <c r="G26" i="7"/>
  <c r="B131" i="7"/>
  <c r="G26" i="4"/>
  <c r="H26" i="4"/>
  <c r="D25" i="4"/>
  <c r="B64" i="8"/>
  <c r="B130" i="4"/>
  <c r="B130" i="11"/>
  <c r="B130" i="7"/>
  <c r="A120" i="7"/>
  <c r="A121" i="7"/>
  <c r="A122" i="7"/>
  <c r="B122" i="7"/>
  <c r="C122" i="7"/>
  <c r="B130" i="10"/>
  <c r="B119" i="10"/>
  <c r="B131" i="11"/>
  <c r="B130" i="8"/>
  <c r="B119" i="8"/>
  <c r="B86" i="8"/>
  <c r="D9" i="8"/>
  <c r="G48" i="27"/>
  <c r="H48" i="27"/>
  <c r="I48" i="27"/>
  <c r="J48" i="27"/>
  <c r="K48" i="27"/>
  <c r="L48" i="27"/>
  <c r="M48" i="27"/>
  <c r="N48" i="27"/>
  <c r="O48" i="27"/>
  <c r="P48" i="27"/>
  <c r="Q48" i="27"/>
  <c r="R48" i="27"/>
  <c r="S48" i="27"/>
  <c r="T48" i="27"/>
  <c r="U48" i="27"/>
  <c r="V48" i="27"/>
  <c r="W48" i="27"/>
  <c r="X48" i="27"/>
  <c r="Y48" i="27"/>
  <c r="B133" i="8"/>
  <c r="G42" i="27"/>
  <c r="G37" i="27"/>
  <c r="G36" i="27"/>
  <c r="B6" i="3"/>
  <c r="E22" i="3"/>
  <c r="E23" i="3"/>
  <c r="F13" i="3"/>
  <c r="E13" i="3"/>
  <c r="E26" i="29"/>
  <c r="E21" i="3"/>
  <c r="D13" i="3"/>
  <c r="D26" i="29"/>
  <c r="B46" i="3"/>
  <c r="E20" i="3"/>
  <c r="C13" i="3"/>
  <c r="C26" i="29"/>
  <c r="E24" i="3"/>
  <c r="E25" i="3"/>
  <c r="E26" i="3"/>
  <c r="E27" i="3"/>
  <c r="E28" i="3"/>
  <c r="E29" i="3"/>
  <c r="E30" i="3"/>
  <c r="E31" i="3"/>
  <c r="E32" i="3"/>
  <c r="E33" i="3"/>
  <c r="E34" i="3"/>
  <c r="E35" i="3"/>
  <c r="E36" i="3"/>
  <c r="F43" i="4"/>
  <c r="F44" i="4"/>
  <c r="G44" i="4"/>
  <c r="G45" i="4"/>
  <c r="H11" i="10"/>
  <c r="E11" i="10"/>
  <c r="D74" i="10"/>
  <c r="F11" i="10"/>
  <c r="D13" i="10"/>
  <c r="D52" i="10"/>
  <c r="E52" i="10"/>
  <c r="B52" i="10"/>
  <c r="D11" i="10"/>
  <c r="J13" i="10"/>
  <c r="J10" i="10"/>
  <c r="J13" i="8"/>
  <c r="B14" i="10"/>
  <c r="D16" i="10"/>
  <c r="D17" i="10"/>
  <c r="G11" i="10"/>
  <c r="G30" i="27"/>
  <c r="B18" i="29"/>
  <c r="E7" i="3"/>
  <c r="E47" i="3"/>
  <c r="E9" i="29"/>
  <c r="E35" i="29"/>
  <c r="D7" i="3"/>
  <c r="D47" i="3"/>
  <c r="D9" i="29"/>
  <c r="D35" i="29"/>
  <c r="C7" i="3"/>
  <c r="B7" i="3"/>
  <c r="B47" i="3"/>
  <c r="B9" i="29"/>
  <c r="B35" i="29"/>
  <c r="H37" i="27"/>
  <c r="H36" i="27"/>
  <c r="H42" i="27"/>
  <c r="H35" i="27"/>
  <c r="H30" i="27"/>
  <c r="H46" i="27"/>
  <c r="F7" i="3"/>
  <c r="F47" i="3"/>
  <c r="F9" i="29"/>
  <c r="F35" i="29"/>
  <c r="F5" i="3"/>
  <c r="F45" i="3"/>
  <c r="B38" i="11"/>
  <c r="B96" i="8"/>
  <c r="J13" i="4"/>
  <c r="J10" i="4"/>
  <c r="B52" i="7"/>
  <c r="J13" i="7"/>
  <c r="J10" i="7"/>
  <c r="J10" i="11"/>
  <c r="B96" i="11"/>
  <c r="J13" i="11"/>
  <c r="H11" i="11"/>
  <c r="D5" i="3"/>
  <c r="D45" i="3"/>
  <c r="B38" i="7"/>
  <c r="C5" i="3"/>
  <c r="C45" i="3"/>
  <c r="B38" i="4"/>
  <c r="E5" i="3"/>
  <c r="E45" i="3"/>
  <c r="B38" i="10"/>
  <c r="F29" i="27"/>
  <c r="AA61" i="27"/>
  <c r="F61" i="27"/>
  <c r="AA60" i="27"/>
  <c r="F60" i="27"/>
  <c r="Y59" i="27"/>
  <c r="X59" i="27"/>
  <c r="W59" i="27"/>
  <c r="V59" i="27"/>
  <c r="U59" i="27"/>
  <c r="T59" i="27"/>
  <c r="S59" i="27"/>
  <c r="R59" i="27"/>
  <c r="Q59" i="27"/>
  <c r="P59" i="27"/>
  <c r="O59" i="27"/>
  <c r="N59" i="27"/>
  <c r="M59" i="27"/>
  <c r="L59" i="27"/>
  <c r="K59" i="27"/>
  <c r="J59" i="27"/>
  <c r="I59" i="27"/>
  <c r="H59" i="27"/>
  <c r="G59" i="27"/>
  <c r="AA58" i="27"/>
  <c r="F58" i="27"/>
  <c r="AA57" i="27"/>
  <c r="F57" i="27"/>
  <c r="AA56" i="27"/>
  <c r="F56" i="27"/>
  <c r="Y55" i="27"/>
  <c r="Y54" i="27"/>
  <c r="X55" i="27"/>
  <c r="X54" i="27"/>
  <c r="X53" i="27"/>
  <c r="W55" i="27"/>
  <c r="W54" i="27"/>
  <c r="W53" i="27"/>
  <c r="V55" i="27"/>
  <c r="V54" i="27"/>
  <c r="V53" i="27"/>
  <c r="U55" i="27"/>
  <c r="U54" i="27"/>
  <c r="U53" i="27"/>
  <c r="T55" i="27"/>
  <c r="T54" i="27"/>
  <c r="T53" i="27"/>
  <c r="S55" i="27"/>
  <c r="S54" i="27"/>
  <c r="R55" i="27"/>
  <c r="R54" i="27"/>
  <c r="R53" i="27"/>
  <c r="Q55" i="27"/>
  <c r="Q54" i="27"/>
  <c r="Q53" i="27"/>
  <c r="P55" i="27"/>
  <c r="P54" i="27"/>
  <c r="P53" i="27"/>
  <c r="O55" i="27"/>
  <c r="O54" i="27"/>
  <c r="O53" i="27"/>
  <c r="N55" i="27"/>
  <c r="N54" i="27"/>
  <c r="N53" i="27"/>
  <c r="M55" i="27"/>
  <c r="M54" i="27"/>
  <c r="M53" i="27"/>
  <c r="L55" i="27"/>
  <c r="L54" i="27"/>
  <c r="L53" i="27"/>
  <c r="K55" i="27"/>
  <c r="K54" i="27"/>
  <c r="K53" i="27"/>
  <c r="J55" i="27"/>
  <c r="J54" i="27"/>
  <c r="J53" i="27"/>
  <c r="I55" i="27"/>
  <c r="I54" i="27"/>
  <c r="I53" i="27"/>
  <c r="H55" i="27"/>
  <c r="H54" i="27"/>
  <c r="G55" i="27"/>
  <c r="G54" i="27"/>
  <c r="F44" i="27"/>
  <c r="F43" i="27"/>
  <c r="F38" i="27"/>
  <c r="F39" i="27"/>
  <c r="F48" i="27"/>
  <c r="Y42" i="27"/>
  <c r="X42" i="27"/>
  <c r="W42" i="27"/>
  <c r="V42" i="27"/>
  <c r="U42" i="27"/>
  <c r="T42" i="27"/>
  <c r="S42" i="27"/>
  <c r="R42" i="27"/>
  <c r="Q42" i="27"/>
  <c r="P42" i="27"/>
  <c r="O42" i="27"/>
  <c r="N42" i="27"/>
  <c r="M42" i="27"/>
  <c r="F6" i="3"/>
  <c r="F46" i="3"/>
  <c r="L42" i="27"/>
  <c r="E6" i="3"/>
  <c r="E46" i="3"/>
  <c r="K42" i="27"/>
  <c r="D6" i="3"/>
  <c r="D46" i="3"/>
  <c r="J42" i="27"/>
  <c r="C6" i="3"/>
  <c r="C46" i="3"/>
  <c r="I42" i="27"/>
  <c r="F42" i="27"/>
  <c r="F41" i="27"/>
  <c r="F40" i="27"/>
  <c r="Y37" i="27"/>
  <c r="Y36" i="27"/>
  <c r="Y35" i="27"/>
  <c r="Y30" i="27"/>
  <c r="Y46" i="27"/>
  <c r="X37" i="27"/>
  <c r="X36" i="27"/>
  <c r="X35" i="27"/>
  <c r="X30" i="27"/>
  <c r="X46" i="27"/>
  <c r="W37" i="27"/>
  <c r="W36" i="27"/>
  <c r="W35" i="27"/>
  <c r="W30" i="27"/>
  <c r="W46" i="27"/>
  <c r="V37" i="27"/>
  <c r="U37" i="27"/>
  <c r="U36" i="27"/>
  <c r="U35" i="27"/>
  <c r="U30" i="27"/>
  <c r="U46" i="27"/>
  <c r="T37" i="27"/>
  <c r="T36" i="27"/>
  <c r="T35" i="27"/>
  <c r="T30" i="27"/>
  <c r="T46" i="27"/>
  <c r="S37" i="27"/>
  <c r="S36" i="27"/>
  <c r="S35" i="27"/>
  <c r="S30" i="27"/>
  <c r="S46" i="27"/>
  <c r="R37" i="27"/>
  <c r="R36" i="27"/>
  <c r="R35" i="27"/>
  <c r="R30" i="27"/>
  <c r="R46" i="27"/>
  <c r="Q37" i="27"/>
  <c r="Q36" i="27"/>
  <c r="Q35" i="27"/>
  <c r="Q30" i="27"/>
  <c r="Q46" i="27"/>
  <c r="P37" i="27"/>
  <c r="O37" i="27"/>
  <c r="O36" i="27"/>
  <c r="O35" i="27"/>
  <c r="O30" i="27"/>
  <c r="O46" i="27"/>
  <c r="N37" i="27"/>
  <c r="N36" i="27"/>
  <c r="N35" i="27"/>
  <c r="N30" i="27"/>
  <c r="N46" i="27"/>
  <c r="M37" i="27"/>
  <c r="M36" i="27"/>
  <c r="M35" i="27"/>
  <c r="M30" i="27"/>
  <c r="M46" i="27"/>
  <c r="L37" i="27"/>
  <c r="L36" i="27"/>
  <c r="L35" i="27"/>
  <c r="L30" i="27"/>
  <c r="L46" i="27"/>
  <c r="E8" i="3"/>
  <c r="E48" i="3"/>
  <c r="K37" i="27"/>
  <c r="K36" i="27"/>
  <c r="K35" i="27"/>
  <c r="K30" i="27"/>
  <c r="K46" i="27"/>
  <c r="D8" i="3"/>
  <c r="D48" i="3"/>
  <c r="J37" i="27"/>
  <c r="J36" i="27"/>
  <c r="J35" i="27"/>
  <c r="J30" i="27"/>
  <c r="J46" i="27"/>
  <c r="C8" i="3"/>
  <c r="I37" i="27"/>
  <c r="I36" i="27"/>
  <c r="I35" i="27"/>
  <c r="I30" i="27"/>
  <c r="I46" i="27"/>
  <c r="V36" i="27"/>
  <c r="V35" i="27"/>
  <c r="V30" i="27"/>
  <c r="V46" i="27"/>
  <c r="P36" i="27"/>
  <c r="P35" i="27"/>
  <c r="P30" i="27"/>
  <c r="P46" i="27"/>
  <c r="AG33" i="27"/>
  <c r="AF33" i="27"/>
  <c r="AE33" i="27"/>
  <c r="AD33" i="27"/>
  <c r="AC33" i="27"/>
  <c r="AB33" i="27"/>
  <c r="AA32" i="27"/>
  <c r="D32" i="27"/>
  <c r="AA31" i="27"/>
  <c r="D31" i="27"/>
  <c r="AG30" i="27"/>
  <c r="AG47" i="27"/>
  <c r="AF30" i="27"/>
  <c r="AF47" i="27"/>
  <c r="AE30" i="27"/>
  <c r="AE47" i="27"/>
  <c r="AD30" i="27"/>
  <c r="AC30" i="27"/>
  <c r="AC47" i="27"/>
  <c r="AB30" i="27"/>
  <c r="F21" i="29"/>
  <c r="E22" i="29"/>
  <c r="D19" i="29"/>
  <c r="C20" i="29"/>
  <c r="AA29" i="27"/>
  <c r="D29" i="27"/>
  <c r="AA28" i="27"/>
  <c r="F28" i="27"/>
  <c r="AA27" i="27"/>
  <c r="F27" i="27"/>
  <c r="AA26" i="27"/>
  <c r="F26" i="27"/>
  <c r="AA25" i="27"/>
  <c r="F25" i="27"/>
  <c r="AA24" i="27"/>
  <c r="F24" i="27"/>
  <c r="AA23" i="27"/>
  <c r="F23" i="27"/>
  <c r="AA22" i="27"/>
  <c r="F22" i="27"/>
  <c r="AA21" i="27"/>
  <c r="F21" i="27"/>
  <c r="AA20" i="27"/>
  <c r="F20" i="27"/>
  <c r="AA19" i="27"/>
  <c r="F19" i="27"/>
  <c r="AA18" i="27"/>
  <c r="F18" i="27"/>
  <c r="AA17" i="27"/>
  <c r="F17" i="27"/>
  <c r="AA16" i="27"/>
  <c r="F16" i="27"/>
  <c r="D16" i="27"/>
  <c r="AA15" i="27"/>
  <c r="F15" i="27"/>
  <c r="D15" i="27"/>
  <c r="AA14" i="27"/>
  <c r="F14" i="27"/>
  <c r="AA13" i="27"/>
  <c r="F13" i="27"/>
  <c r="AA12" i="27"/>
  <c r="F12" i="27"/>
  <c r="D12" i="27"/>
  <c r="AA11" i="27"/>
  <c r="F11" i="27"/>
  <c r="D18" i="27"/>
  <c r="Y53" i="27"/>
  <c r="D14" i="27"/>
  <c r="G53" i="27"/>
  <c r="D26" i="27"/>
  <c r="AA59" i="27"/>
  <c r="S53" i="27"/>
  <c r="D27" i="27"/>
  <c r="D22" i="27"/>
  <c r="D24" i="27"/>
  <c r="AA30" i="27"/>
  <c r="AB47" i="27"/>
  <c r="AD47" i="27"/>
  <c r="AA47" i="27"/>
  <c r="F30" i="27"/>
  <c r="D13" i="27"/>
  <c r="AA33" i="27"/>
  <c r="D33" i="27"/>
  <c r="D19" i="27"/>
  <c r="D21" i="27"/>
  <c r="D23" i="27"/>
  <c r="F59" i="27"/>
  <c r="D17" i="27"/>
  <c r="D20" i="27"/>
  <c r="D25" i="27"/>
  <c r="D28" i="27"/>
  <c r="D11" i="27"/>
  <c r="F55" i="27"/>
  <c r="AA55" i="27"/>
  <c r="D30" i="27"/>
  <c r="B52" i="8"/>
  <c r="B14" i="4"/>
  <c r="J50" i="4"/>
  <c r="B14" i="11"/>
  <c r="B15" i="11"/>
  <c r="O9" i="6"/>
  <c r="B14" i="7"/>
  <c r="B15" i="8"/>
  <c r="G9" i="6"/>
  <c r="B133" i="11"/>
  <c r="A120" i="11"/>
  <c r="A121" i="11"/>
  <c r="A97" i="11"/>
  <c r="A98" i="11"/>
  <c r="B85" i="11"/>
  <c r="B107" i="11"/>
  <c r="A75" i="11"/>
  <c r="A76" i="11"/>
  <c r="B74" i="11"/>
  <c r="A53" i="11"/>
  <c r="B53" i="11"/>
  <c r="B52" i="11"/>
  <c r="D13" i="11"/>
  <c r="D52" i="11"/>
  <c r="E52" i="11"/>
  <c r="G11" i="11"/>
  <c r="F11" i="11"/>
  <c r="E11" i="11"/>
  <c r="D11" i="11"/>
  <c r="B133" i="10"/>
  <c r="A120" i="10"/>
  <c r="A121" i="10"/>
  <c r="A122" i="10"/>
  <c r="A123" i="10"/>
  <c r="A124" i="10"/>
  <c r="A125" i="10"/>
  <c r="A126" i="10"/>
  <c r="A127" i="10"/>
  <c r="A128" i="10"/>
  <c r="A97" i="10"/>
  <c r="B97" i="10"/>
  <c r="B96" i="10"/>
  <c r="B85" i="10"/>
  <c r="B107" i="10"/>
  <c r="A75" i="10"/>
  <c r="B75" i="10"/>
  <c r="B74" i="10"/>
  <c r="A53" i="10"/>
  <c r="B53" i="10"/>
  <c r="A120" i="8"/>
  <c r="A97" i="8"/>
  <c r="B97" i="8"/>
  <c r="B85" i="8"/>
  <c r="A75" i="8"/>
  <c r="B74" i="8"/>
  <c r="A53" i="8"/>
  <c r="B53" i="8"/>
  <c r="D52" i="8"/>
  <c r="E52" i="8"/>
  <c r="H11" i="8"/>
  <c r="G11" i="8"/>
  <c r="F11" i="8"/>
  <c r="D11" i="8"/>
  <c r="B133" i="7"/>
  <c r="A97" i="7"/>
  <c r="A98" i="7"/>
  <c r="B96" i="7"/>
  <c r="B85" i="7"/>
  <c r="B107" i="7"/>
  <c r="A75" i="7"/>
  <c r="A76" i="7"/>
  <c r="A77" i="7"/>
  <c r="B74" i="7"/>
  <c r="A53" i="7"/>
  <c r="B53" i="7"/>
  <c r="D13" i="7"/>
  <c r="D52" i="7"/>
  <c r="E52" i="7"/>
  <c r="F52" i="7"/>
  <c r="H11" i="7"/>
  <c r="G11" i="7"/>
  <c r="F11" i="7"/>
  <c r="E11" i="7"/>
  <c r="D74" i="7"/>
  <c r="E74" i="7"/>
  <c r="D75" i="7"/>
  <c r="E75" i="7"/>
  <c r="F75" i="7"/>
  <c r="D11" i="7"/>
  <c r="D11" i="4"/>
  <c r="E11" i="4"/>
  <c r="D74" i="4"/>
  <c r="F11" i="4"/>
  <c r="G11" i="4"/>
  <c r="G16" i="4"/>
  <c r="H11" i="4"/>
  <c r="D13" i="4"/>
  <c r="D52" i="4"/>
  <c r="E52" i="4"/>
  <c r="F52" i="4"/>
  <c r="A120" i="4"/>
  <c r="A97" i="4"/>
  <c r="B97" i="4"/>
  <c r="A75" i="4"/>
  <c r="A76" i="4"/>
  <c r="A77" i="4"/>
  <c r="B77" i="4"/>
  <c r="A53" i="4"/>
  <c r="B53" i="4"/>
  <c r="B133" i="4"/>
  <c r="B85" i="4"/>
  <c r="B107" i="4"/>
  <c r="B52" i="4"/>
  <c r="B74" i="4"/>
  <c r="B96" i="4"/>
  <c r="B75" i="7"/>
  <c r="C75" i="7"/>
  <c r="A76" i="10"/>
  <c r="B76" i="10"/>
  <c r="F37" i="27"/>
  <c r="F45" i="27"/>
  <c r="A54" i="4"/>
  <c r="B54" i="4"/>
  <c r="A98" i="8"/>
  <c r="A99" i="8"/>
  <c r="B99" i="8"/>
  <c r="F16" i="10"/>
  <c r="A98" i="10"/>
  <c r="B98" i="10"/>
  <c r="A99" i="10"/>
  <c r="D74" i="11"/>
  <c r="D25" i="11"/>
  <c r="D23" i="11"/>
  <c r="A121" i="8"/>
  <c r="B121" i="8"/>
  <c r="B75" i="8"/>
  <c r="A76" i="8"/>
  <c r="A77" i="8"/>
  <c r="B76" i="8"/>
  <c r="D16" i="4"/>
  <c r="D17" i="4"/>
  <c r="D27" i="4"/>
  <c r="E16" i="7"/>
  <c r="F26" i="29"/>
  <c r="B64" i="4"/>
  <c r="B97" i="11"/>
  <c r="A54" i="11"/>
  <c r="D25" i="10"/>
  <c r="B97" i="7"/>
  <c r="A122" i="8"/>
  <c r="A123" i="8"/>
  <c r="A124" i="8"/>
  <c r="B75" i="11"/>
  <c r="J50" i="11"/>
  <c r="E74" i="11"/>
  <c r="F74" i="11"/>
  <c r="J74" i="11"/>
  <c r="L74" i="11"/>
  <c r="E74" i="4"/>
  <c r="F74" i="4"/>
  <c r="A121" i="4"/>
  <c r="A98" i="4"/>
  <c r="B99" i="10"/>
  <c r="A100" i="10"/>
  <c r="A54" i="10"/>
  <c r="B54" i="10"/>
  <c r="A77" i="10"/>
  <c r="D75" i="4"/>
  <c r="E75" i="4"/>
  <c r="A78" i="4"/>
  <c r="D53" i="4"/>
  <c r="E53" i="4"/>
  <c r="E16" i="4"/>
  <c r="B15" i="4"/>
  <c r="I9" i="6"/>
  <c r="A55" i="4"/>
  <c r="A78" i="8"/>
  <c r="B78" i="8"/>
  <c r="B77" i="8"/>
  <c r="A100" i="8"/>
  <c r="B98" i="8"/>
  <c r="A54" i="8"/>
  <c r="B54" i="8"/>
  <c r="B76" i="7"/>
  <c r="C76" i="7"/>
  <c r="B98" i="7"/>
  <c r="A99" i="7"/>
  <c r="B99" i="7"/>
  <c r="A54" i="7"/>
  <c r="D16" i="7"/>
  <c r="D17" i="7"/>
  <c r="D25" i="7"/>
  <c r="D27" i="7"/>
  <c r="B15" i="7"/>
  <c r="K9" i="6"/>
  <c r="G16" i="7"/>
  <c r="H16" i="7"/>
  <c r="F16" i="7"/>
  <c r="J50" i="7"/>
  <c r="J52" i="7"/>
  <c r="G16" i="10"/>
  <c r="F16" i="4"/>
  <c r="H16" i="4"/>
  <c r="G16" i="11"/>
  <c r="G16" i="8"/>
  <c r="F16" i="11"/>
  <c r="H16" i="8"/>
  <c r="D16" i="8"/>
  <c r="D17" i="8"/>
  <c r="J50" i="8"/>
  <c r="B120" i="10"/>
  <c r="B122" i="10"/>
  <c r="B121" i="10"/>
  <c r="B123" i="10"/>
  <c r="B124" i="10"/>
  <c r="B128" i="10"/>
  <c r="B127" i="10"/>
  <c r="D53" i="10"/>
  <c r="E53" i="10"/>
  <c r="F53" i="10"/>
  <c r="F52" i="10"/>
  <c r="D76" i="7"/>
  <c r="E76" i="7"/>
  <c r="F74" i="7"/>
  <c r="B54" i="11"/>
  <c r="A55" i="11"/>
  <c r="B55" i="11"/>
  <c r="B98" i="4"/>
  <c r="A99" i="4"/>
  <c r="B99" i="4"/>
  <c r="A122" i="4"/>
  <c r="A101" i="10"/>
  <c r="B100" i="10"/>
  <c r="A55" i="10"/>
  <c r="A56" i="10"/>
  <c r="A78" i="10"/>
  <c r="B77" i="10"/>
  <c r="A56" i="4"/>
  <c r="B55" i="4"/>
  <c r="D54" i="4"/>
  <c r="E54" i="4"/>
  <c r="D55" i="4"/>
  <c r="E55" i="4"/>
  <c r="F53" i="4"/>
  <c r="B78" i="4"/>
  <c r="A79" i="4"/>
  <c r="B79" i="4"/>
  <c r="A79" i="8"/>
  <c r="A80" i="8"/>
  <c r="A125" i="8"/>
  <c r="A55" i="8"/>
  <c r="B100" i="8"/>
  <c r="A101" i="8"/>
  <c r="A102" i="8"/>
  <c r="A100" i="7"/>
  <c r="A101" i="7"/>
  <c r="B54" i="7"/>
  <c r="A55" i="7"/>
  <c r="B55" i="7"/>
  <c r="D75" i="11"/>
  <c r="E75" i="11"/>
  <c r="A56" i="11"/>
  <c r="A57" i="11"/>
  <c r="A123" i="7"/>
  <c r="A124" i="7"/>
  <c r="A125" i="7"/>
  <c r="A126" i="7"/>
  <c r="A123" i="4"/>
  <c r="A124" i="4"/>
  <c r="A125" i="4"/>
  <c r="A126" i="4"/>
  <c r="A100" i="4"/>
  <c r="B100" i="4"/>
  <c r="A79" i="10"/>
  <c r="B78" i="10"/>
  <c r="B55" i="10"/>
  <c r="A102" i="10"/>
  <c r="A103" i="10"/>
  <c r="B101" i="10"/>
  <c r="A80" i="4"/>
  <c r="A81" i="4"/>
  <c r="A57" i="4"/>
  <c r="B56" i="4"/>
  <c r="A126" i="8"/>
  <c r="A127" i="8"/>
  <c r="A128" i="8"/>
  <c r="B55" i="8"/>
  <c r="A56" i="8"/>
  <c r="B56" i="8"/>
  <c r="B79" i="8"/>
  <c r="B100" i="7"/>
  <c r="A56" i="7"/>
  <c r="A57" i="7"/>
  <c r="B57" i="7"/>
  <c r="B56" i="11"/>
  <c r="A101" i="4"/>
  <c r="B102" i="10"/>
  <c r="A80" i="10"/>
  <c r="A81" i="10"/>
  <c r="B81" i="10"/>
  <c r="B79" i="10"/>
  <c r="B80" i="4"/>
  <c r="A58" i="4"/>
  <c r="A59" i="4"/>
  <c r="B57" i="4"/>
  <c r="B56" i="7"/>
  <c r="B101" i="4"/>
  <c r="A102" i="4"/>
  <c r="B80" i="10"/>
  <c r="B58" i="4"/>
  <c r="B102" i="4"/>
  <c r="A103" i="4"/>
  <c r="A104" i="4"/>
  <c r="A82" i="10"/>
  <c r="A127" i="7"/>
  <c r="B103" i="4"/>
  <c r="A127" i="4"/>
  <c r="B127" i="4"/>
  <c r="A83" i="10"/>
  <c r="B83" i="10"/>
  <c r="B82" i="10"/>
  <c r="A128" i="7"/>
  <c r="A128" i="4"/>
  <c r="B104" i="4"/>
  <c r="A105" i="4"/>
  <c r="B105" i="4"/>
  <c r="B108" i="11"/>
  <c r="B22" i="11"/>
  <c r="B108" i="8"/>
  <c r="B108" i="4"/>
  <c r="C96" i="4"/>
  <c r="H96" i="4"/>
  <c r="B22" i="4"/>
  <c r="B128" i="4"/>
  <c r="B124" i="4"/>
  <c r="B119" i="4"/>
  <c r="B121" i="4"/>
  <c r="B126" i="4"/>
  <c r="B120" i="4"/>
  <c r="B127" i="7"/>
  <c r="C127" i="7"/>
  <c r="B126" i="7"/>
  <c r="C126" i="7"/>
  <c r="B128" i="7"/>
  <c r="C128" i="7"/>
  <c r="B120" i="11"/>
  <c r="B119" i="11"/>
  <c r="C119" i="11"/>
  <c r="H26" i="11"/>
  <c r="C120" i="11"/>
  <c r="B131" i="10"/>
  <c r="H26" i="10"/>
  <c r="H26" i="7"/>
  <c r="B108" i="7"/>
  <c r="C58" i="4"/>
  <c r="B125" i="4"/>
  <c r="B123" i="4"/>
  <c r="B122" i="4"/>
  <c r="B131" i="4"/>
  <c r="C128" i="4"/>
  <c r="B124" i="8"/>
  <c r="B122" i="8"/>
  <c r="B120" i="8"/>
  <c r="B127" i="8"/>
  <c r="B125" i="8"/>
  <c r="B123" i="8"/>
  <c r="B128" i="8"/>
  <c r="B126" i="8"/>
  <c r="C78" i="8"/>
  <c r="B131" i="8"/>
  <c r="C128" i="8"/>
  <c r="H26" i="8"/>
  <c r="J10" i="8"/>
  <c r="C97" i="11"/>
  <c r="C96" i="11"/>
  <c r="H96" i="11"/>
  <c r="C102" i="4"/>
  <c r="C101" i="4"/>
  <c r="C100" i="4"/>
  <c r="C103" i="4"/>
  <c r="C99" i="4"/>
  <c r="G26" i="8"/>
  <c r="C105" i="4"/>
  <c r="C121" i="10"/>
  <c r="C122" i="10"/>
  <c r="C128" i="10"/>
  <c r="C120" i="10"/>
  <c r="C123" i="10"/>
  <c r="C127" i="10"/>
  <c r="C119" i="10"/>
  <c r="H119" i="10"/>
  <c r="C124" i="10"/>
  <c r="H124" i="10"/>
  <c r="C119" i="4"/>
  <c r="H119" i="4"/>
  <c r="C121" i="4"/>
  <c r="C122" i="4"/>
  <c r="C125" i="4"/>
  <c r="C120" i="4"/>
  <c r="H120" i="4"/>
  <c r="C124" i="4"/>
  <c r="C123" i="4"/>
  <c r="H123" i="4"/>
  <c r="C127" i="4"/>
  <c r="H101" i="4"/>
  <c r="H102" i="4"/>
  <c r="H123" i="10"/>
  <c r="H120" i="10"/>
  <c r="H121" i="10"/>
  <c r="H122" i="10"/>
  <c r="D23" i="4"/>
  <c r="H100" i="4"/>
  <c r="C54" i="10"/>
  <c r="C52" i="10"/>
  <c r="H52" i="10"/>
  <c r="C55" i="10"/>
  <c r="C53" i="10"/>
  <c r="H54" i="10"/>
  <c r="C79" i="8"/>
  <c r="H79" i="8"/>
  <c r="C76" i="8"/>
  <c r="H124" i="4"/>
  <c r="C77" i="8"/>
  <c r="H77" i="8"/>
  <c r="C74" i="8"/>
  <c r="H74" i="8"/>
  <c r="C75" i="8"/>
  <c r="C75" i="11"/>
  <c r="C74" i="11"/>
  <c r="H74" i="11"/>
  <c r="C53" i="8"/>
  <c r="C55" i="8"/>
  <c r="C54" i="8"/>
  <c r="C52" i="8"/>
  <c r="H52" i="8"/>
  <c r="C56" i="8"/>
  <c r="H56" i="8"/>
  <c r="C76" i="10"/>
  <c r="C79" i="10"/>
  <c r="C82" i="10"/>
  <c r="C83" i="10"/>
  <c r="C75" i="10"/>
  <c r="C80" i="10"/>
  <c r="H80" i="10"/>
  <c r="C81" i="10"/>
  <c r="H81" i="10"/>
  <c r="E74" i="10"/>
  <c r="D75" i="10"/>
  <c r="E75" i="10"/>
  <c r="D76" i="10"/>
  <c r="E76" i="10"/>
  <c r="D77" i="10"/>
  <c r="E77" i="10"/>
  <c r="D78" i="10"/>
  <c r="E78" i="10"/>
  <c r="D79" i="10"/>
  <c r="E79" i="10"/>
  <c r="D80" i="10"/>
  <c r="E80" i="10"/>
  <c r="D81" i="10"/>
  <c r="E81" i="10"/>
  <c r="F81" i="10"/>
  <c r="G81" i="10"/>
  <c r="C78" i="10"/>
  <c r="C77" i="10"/>
  <c r="H77" i="10"/>
  <c r="C74" i="10"/>
  <c r="H74" i="10"/>
  <c r="H76" i="8"/>
  <c r="H53" i="8"/>
  <c r="H83" i="10"/>
  <c r="H79" i="10"/>
  <c r="H75" i="11"/>
  <c r="C98" i="8"/>
  <c r="C97" i="8"/>
  <c r="C100" i="8"/>
  <c r="C96" i="8"/>
  <c r="H96" i="8"/>
  <c r="C99" i="8"/>
  <c r="H82" i="10"/>
  <c r="A82" i="4"/>
  <c r="B81" i="4"/>
  <c r="F52" i="11"/>
  <c r="D53" i="11"/>
  <c r="E53" i="11"/>
  <c r="B57" i="11"/>
  <c r="A58" i="11"/>
  <c r="B56" i="10"/>
  <c r="C56" i="10"/>
  <c r="H56" i="10"/>
  <c r="A57" i="10"/>
  <c r="D76" i="4"/>
  <c r="E76" i="4"/>
  <c r="F75" i="4"/>
  <c r="A78" i="7"/>
  <c r="B77" i="7"/>
  <c r="C77" i="7"/>
  <c r="A58" i="7"/>
  <c r="A104" i="10"/>
  <c r="B103" i="10"/>
  <c r="F75" i="11"/>
  <c r="D76" i="11"/>
  <c r="E76" i="11"/>
  <c r="B101" i="7"/>
  <c r="C101" i="7"/>
  <c r="A102" i="7"/>
  <c r="F76" i="7"/>
  <c r="D77" i="7"/>
  <c r="E77" i="7"/>
  <c r="B59" i="4"/>
  <c r="A60" i="4"/>
  <c r="A103" i="8"/>
  <c r="B102" i="8"/>
  <c r="C102" i="8"/>
  <c r="B80" i="8"/>
  <c r="C80" i="8"/>
  <c r="H80" i="8"/>
  <c r="A81" i="8"/>
  <c r="F55" i="4"/>
  <c r="D56" i="4"/>
  <c r="E56" i="4"/>
  <c r="A122" i="11"/>
  <c r="B121" i="11"/>
  <c r="C121" i="11"/>
  <c r="H121" i="11"/>
  <c r="F54" i="4"/>
  <c r="D54" i="10"/>
  <c r="E54" i="10"/>
  <c r="A77" i="11"/>
  <c r="B76" i="11"/>
  <c r="C76" i="11"/>
  <c r="H76" i="11"/>
  <c r="AA54" i="27"/>
  <c r="H53" i="27"/>
  <c r="G35" i="27"/>
  <c r="F36" i="27"/>
  <c r="A57" i="8"/>
  <c r="B101" i="8"/>
  <c r="C101" i="8"/>
  <c r="H101" i="8"/>
  <c r="D53" i="7"/>
  <c r="E53" i="7"/>
  <c r="B126" i="10"/>
  <c r="C126" i="10"/>
  <c r="B125" i="10"/>
  <c r="C125" i="10"/>
  <c r="H125" i="10"/>
  <c r="D82" i="10"/>
  <c r="E82" i="10"/>
  <c r="D83" i="10"/>
  <c r="E83" i="10"/>
  <c r="D96" i="10"/>
  <c r="E96" i="10"/>
  <c r="D97" i="10"/>
  <c r="E97" i="10"/>
  <c r="D98" i="10"/>
  <c r="E98" i="10"/>
  <c r="D99" i="10"/>
  <c r="E99" i="10"/>
  <c r="D100" i="10"/>
  <c r="E100" i="10"/>
  <c r="D101" i="10"/>
  <c r="E101" i="10"/>
  <c r="D102" i="10"/>
  <c r="E102" i="10"/>
  <c r="D103" i="10"/>
  <c r="E103" i="10"/>
  <c r="D104" i="10"/>
  <c r="E104" i="10"/>
  <c r="D105" i="10"/>
  <c r="E105" i="10"/>
  <c r="D119" i="10"/>
  <c r="E119" i="10"/>
  <c r="D120" i="10"/>
  <c r="E120" i="10"/>
  <c r="D121" i="10"/>
  <c r="E121" i="10"/>
  <c r="D122" i="10"/>
  <c r="E122" i="10"/>
  <c r="D123" i="10"/>
  <c r="E123" i="10"/>
  <c r="D124" i="10"/>
  <c r="E124" i="10"/>
  <c r="D125" i="10"/>
  <c r="E125" i="10"/>
  <c r="F125" i="10"/>
  <c r="G125" i="10"/>
  <c r="C48" i="3"/>
  <c r="C47" i="3"/>
  <c r="C9" i="29"/>
  <c r="C35" i="29"/>
  <c r="B76" i="4"/>
  <c r="B98" i="11"/>
  <c r="C98" i="11"/>
  <c r="H98" i="11"/>
  <c r="A99" i="11"/>
  <c r="F8" i="3"/>
  <c r="F48" i="3"/>
  <c r="F54" i="27"/>
  <c r="B75" i="4"/>
  <c r="E4" i="3"/>
  <c r="E44" i="3"/>
  <c r="E6" i="29"/>
  <c r="C21" i="29"/>
  <c r="D20" i="29"/>
  <c r="E19" i="29"/>
  <c r="F18" i="29"/>
  <c r="F22" i="29"/>
  <c r="B4" i="3"/>
  <c r="B44" i="3"/>
  <c r="B6" i="29"/>
  <c r="D23" i="8"/>
  <c r="C4" i="3"/>
  <c r="C44" i="3"/>
  <c r="C6" i="29"/>
  <c r="F4" i="3"/>
  <c r="F44" i="3"/>
  <c r="F6" i="29"/>
  <c r="C18" i="29"/>
  <c r="C22" i="29"/>
  <c r="D21" i="29"/>
  <c r="E20" i="29"/>
  <c r="F19" i="29"/>
  <c r="B20" i="29"/>
  <c r="B26" i="29"/>
  <c r="B19" i="29"/>
  <c r="C19" i="29"/>
  <c r="D18" i="29"/>
  <c r="D22" i="29"/>
  <c r="E21" i="29"/>
  <c r="F20" i="29"/>
  <c r="B21" i="29"/>
  <c r="D4" i="3"/>
  <c r="D44" i="3"/>
  <c r="D6" i="29"/>
  <c r="E18" i="29"/>
  <c r="B22" i="29"/>
  <c r="F74" i="10"/>
  <c r="B57" i="8"/>
  <c r="C57" i="8"/>
  <c r="H57" i="8"/>
  <c r="A58" i="8"/>
  <c r="AA53" i="27"/>
  <c r="F53" i="27"/>
  <c r="F54" i="10"/>
  <c r="D55" i="10"/>
  <c r="E55" i="10"/>
  <c r="A123" i="11"/>
  <c r="B122" i="11"/>
  <c r="C122" i="11"/>
  <c r="A61" i="4"/>
  <c r="B61" i="4"/>
  <c r="B60" i="4"/>
  <c r="C60" i="4"/>
  <c r="D77" i="11"/>
  <c r="E77" i="11"/>
  <c r="F76" i="11"/>
  <c r="J76" i="11"/>
  <c r="L76" i="11"/>
  <c r="A59" i="11"/>
  <c r="B58" i="11"/>
  <c r="H100" i="8"/>
  <c r="F56" i="4"/>
  <c r="D57" i="4"/>
  <c r="E57" i="4"/>
  <c r="J75" i="11"/>
  <c r="L75" i="11"/>
  <c r="G75" i="11"/>
  <c r="B58" i="7"/>
  <c r="A59" i="7"/>
  <c r="D77" i="4"/>
  <c r="E77" i="4"/>
  <c r="F76" i="4"/>
  <c r="F53" i="7"/>
  <c r="D54" i="7"/>
  <c r="E54" i="7"/>
  <c r="A104" i="8"/>
  <c r="B103" i="8"/>
  <c r="C103" i="8"/>
  <c r="H103" i="8"/>
  <c r="F77" i="7"/>
  <c r="J77" i="7"/>
  <c r="L77" i="7"/>
  <c r="D78" i="7"/>
  <c r="E78" i="7"/>
  <c r="B102" i="7"/>
  <c r="A103" i="7"/>
  <c r="B57" i="10"/>
  <c r="C57" i="10"/>
  <c r="H57" i="10"/>
  <c r="A58" i="10"/>
  <c r="D54" i="11"/>
  <c r="E54" i="11"/>
  <c r="F53" i="11"/>
  <c r="A100" i="11"/>
  <c r="B99" i="11"/>
  <c r="C99" i="11"/>
  <c r="H99" i="11"/>
  <c r="F35" i="27"/>
  <c r="G46" i="27"/>
  <c r="B77" i="11"/>
  <c r="C77" i="11"/>
  <c r="H77" i="11"/>
  <c r="A78" i="11"/>
  <c r="B81" i="8"/>
  <c r="C81" i="8"/>
  <c r="H81" i="8"/>
  <c r="A82" i="8"/>
  <c r="J76" i="7"/>
  <c r="A105" i="10"/>
  <c r="B105" i="10"/>
  <c r="B104" i="10"/>
  <c r="A79" i="7"/>
  <c r="B78" i="7"/>
  <c r="C78" i="7"/>
  <c r="J52" i="11"/>
  <c r="A83" i="4"/>
  <c r="B83" i="4"/>
  <c r="B82" i="4"/>
  <c r="A83" i="8"/>
  <c r="B83" i="8"/>
  <c r="C83" i="8"/>
  <c r="B82" i="8"/>
  <c r="C82" i="8"/>
  <c r="H83" i="8"/>
  <c r="A101" i="11"/>
  <c r="B100" i="11"/>
  <c r="C100" i="11"/>
  <c r="H100" i="11"/>
  <c r="D79" i="7"/>
  <c r="E79" i="7"/>
  <c r="F78" i="7"/>
  <c r="J78" i="7"/>
  <c r="L78" i="7"/>
  <c r="F54" i="7"/>
  <c r="D55" i="7"/>
  <c r="E55" i="7"/>
  <c r="F77" i="11"/>
  <c r="J77" i="11"/>
  <c r="L77" i="11"/>
  <c r="D78" i="11"/>
  <c r="E78" i="11"/>
  <c r="J53" i="7"/>
  <c r="D78" i="4"/>
  <c r="E78" i="4"/>
  <c r="F77" i="4"/>
  <c r="K75" i="11"/>
  <c r="A60" i="11"/>
  <c r="B59" i="11"/>
  <c r="B78" i="11"/>
  <c r="C78" i="11"/>
  <c r="A79" i="11"/>
  <c r="B8" i="3"/>
  <c r="B48" i="3"/>
  <c r="F46" i="27"/>
  <c r="J53" i="11"/>
  <c r="L76" i="7"/>
  <c r="D55" i="11"/>
  <c r="E55" i="11"/>
  <c r="F54" i="11"/>
  <c r="B103" i="7"/>
  <c r="A104" i="7"/>
  <c r="B59" i="7"/>
  <c r="A60" i="7"/>
  <c r="F57" i="4"/>
  <c r="D58" i="4"/>
  <c r="E58" i="4"/>
  <c r="A124" i="11"/>
  <c r="B123" i="11"/>
  <c r="C123" i="11"/>
  <c r="H123" i="11"/>
  <c r="F75" i="10"/>
  <c r="B79" i="7"/>
  <c r="C79" i="7"/>
  <c r="A80" i="7"/>
  <c r="B58" i="10"/>
  <c r="C58" i="10"/>
  <c r="H58" i="10"/>
  <c r="A59" i="10"/>
  <c r="A105" i="8"/>
  <c r="B105" i="8"/>
  <c r="C105" i="8"/>
  <c r="B104" i="8"/>
  <c r="C104" i="8"/>
  <c r="H105" i="8"/>
  <c r="H104" i="8"/>
  <c r="F55" i="10"/>
  <c r="D56" i="10"/>
  <c r="E56" i="10"/>
  <c r="B58" i="8"/>
  <c r="C58" i="8"/>
  <c r="A59" i="8"/>
  <c r="D59" i="4"/>
  <c r="E59" i="4"/>
  <c r="F58" i="4"/>
  <c r="F79" i="7"/>
  <c r="J79" i="7"/>
  <c r="L79" i="7"/>
  <c r="D80" i="7"/>
  <c r="E80" i="7"/>
  <c r="F56" i="10"/>
  <c r="D57" i="10"/>
  <c r="E57" i="10"/>
  <c r="F55" i="11"/>
  <c r="D56" i="11"/>
  <c r="E56" i="11"/>
  <c r="B79" i="11"/>
  <c r="C79" i="11"/>
  <c r="H79" i="11"/>
  <c r="A80" i="11"/>
  <c r="F78" i="4"/>
  <c r="D79" i="4"/>
  <c r="E79" i="4"/>
  <c r="A60" i="10"/>
  <c r="B59" i="10"/>
  <c r="C59" i="10"/>
  <c r="H59" i="10"/>
  <c r="D58" i="10"/>
  <c r="E58" i="10"/>
  <c r="D59" i="10"/>
  <c r="E59" i="10"/>
  <c r="F59" i="10"/>
  <c r="G59" i="10"/>
  <c r="A60" i="8"/>
  <c r="B59" i="8"/>
  <c r="C59" i="8"/>
  <c r="F76" i="10"/>
  <c r="A61" i="11"/>
  <c r="B61" i="11"/>
  <c r="B60" i="11"/>
  <c r="F55" i="7"/>
  <c r="D56" i="7"/>
  <c r="E56" i="7"/>
  <c r="A102" i="11"/>
  <c r="B101" i="11"/>
  <c r="C101" i="11"/>
  <c r="H101" i="11"/>
  <c r="A125" i="11"/>
  <c r="B124" i="11"/>
  <c r="C124" i="11"/>
  <c r="H124" i="11"/>
  <c r="B104" i="7"/>
  <c r="C104" i="7"/>
  <c r="A105" i="7"/>
  <c r="B105" i="7"/>
  <c r="B80" i="7"/>
  <c r="A81" i="7"/>
  <c r="B60" i="7"/>
  <c r="A61" i="7"/>
  <c r="B61" i="7"/>
  <c r="J54" i="11"/>
  <c r="F78" i="11"/>
  <c r="J78" i="11"/>
  <c r="L78" i="11"/>
  <c r="D79" i="11"/>
  <c r="E79" i="11"/>
  <c r="J54" i="7"/>
  <c r="F79" i="11"/>
  <c r="J79" i="11"/>
  <c r="L79" i="11"/>
  <c r="D80" i="11"/>
  <c r="E80" i="11"/>
  <c r="A103" i="11"/>
  <c r="B102" i="11"/>
  <c r="C102" i="11"/>
  <c r="H102" i="11"/>
  <c r="G56" i="10"/>
  <c r="F56" i="7"/>
  <c r="D57" i="7"/>
  <c r="E57" i="7"/>
  <c r="B60" i="10"/>
  <c r="C60" i="10"/>
  <c r="H60" i="10"/>
  <c r="A61" i="10"/>
  <c r="B61" i="10"/>
  <c r="C61" i="10"/>
  <c r="H61" i="10"/>
  <c r="D60" i="4"/>
  <c r="E60" i="4"/>
  <c r="F59" i="4"/>
  <c r="A126" i="11"/>
  <c r="B125" i="11"/>
  <c r="C125" i="11"/>
  <c r="H125" i="11"/>
  <c r="J55" i="7"/>
  <c r="L55" i="7"/>
  <c r="A82" i="7"/>
  <c r="B81" i="7"/>
  <c r="F77" i="10"/>
  <c r="B60" i="8"/>
  <c r="C60" i="8"/>
  <c r="A61" i="8"/>
  <c r="B61" i="8"/>
  <c r="C61" i="8"/>
  <c r="F79" i="4"/>
  <c r="D80" i="4"/>
  <c r="E80" i="4"/>
  <c r="A81" i="11"/>
  <c r="B80" i="11"/>
  <c r="C80" i="11"/>
  <c r="H80" i="11"/>
  <c r="F56" i="11"/>
  <c r="D57" i="11"/>
  <c r="E57" i="11"/>
  <c r="F57" i="10"/>
  <c r="D81" i="7"/>
  <c r="E81" i="7"/>
  <c r="F80" i="7"/>
  <c r="J80" i="7"/>
  <c r="L80" i="7"/>
  <c r="J55" i="11"/>
  <c r="D82" i="7"/>
  <c r="E82" i="7"/>
  <c r="F81" i="7"/>
  <c r="J81" i="7"/>
  <c r="L81" i="7"/>
  <c r="B82" i="7"/>
  <c r="C82" i="7"/>
  <c r="A83" i="7"/>
  <c r="B83" i="7"/>
  <c r="L55" i="11"/>
  <c r="F58" i="10"/>
  <c r="D58" i="7"/>
  <c r="E58" i="7"/>
  <c r="F57" i="7"/>
  <c r="J56" i="7"/>
  <c r="L56" i="7"/>
  <c r="B81" i="11"/>
  <c r="C81" i="11"/>
  <c r="H81" i="11"/>
  <c r="A82" i="11"/>
  <c r="F78" i="10"/>
  <c r="F57" i="11"/>
  <c r="D58" i="11"/>
  <c r="E58" i="11"/>
  <c r="F80" i="4"/>
  <c r="D81" i="4"/>
  <c r="E81" i="4"/>
  <c r="F60" i="4"/>
  <c r="D61" i="4"/>
  <c r="E61" i="4"/>
  <c r="F61" i="4"/>
  <c r="D81" i="11"/>
  <c r="E81" i="11"/>
  <c r="F80" i="11"/>
  <c r="J80" i="11"/>
  <c r="L80" i="11"/>
  <c r="J56" i="11"/>
  <c r="L56" i="11"/>
  <c r="A127" i="11"/>
  <c r="B126" i="11"/>
  <c r="C126" i="11"/>
  <c r="H126" i="11"/>
  <c r="B103" i="11"/>
  <c r="C103" i="11"/>
  <c r="H103" i="11"/>
  <c r="A104" i="11"/>
  <c r="J57" i="11"/>
  <c r="L57" i="11"/>
  <c r="F79" i="10"/>
  <c r="A128" i="11"/>
  <c r="B128" i="11"/>
  <c r="C128" i="11"/>
  <c r="B127" i="11"/>
  <c r="C127" i="11"/>
  <c r="H127" i="11"/>
  <c r="F81" i="4"/>
  <c r="D82" i="4"/>
  <c r="E82" i="4"/>
  <c r="A83" i="11"/>
  <c r="B83" i="11"/>
  <c r="C83" i="11"/>
  <c r="B82" i="11"/>
  <c r="C82" i="11"/>
  <c r="H82" i="11"/>
  <c r="D60" i="10"/>
  <c r="E60" i="10"/>
  <c r="F81" i="11"/>
  <c r="J81" i="11"/>
  <c r="L81" i="11"/>
  <c r="D82" i="11"/>
  <c r="E82" i="11"/>
  <c r="J57" i="7"/>
  <c r="L57" i="7"/>
  <c r="F82" i="7"/>
  <c r="J82" i="7"/>
  <c r="L82" i="7"/>
  <c r="D83" i="7"/>
  <c r="E83" i="7"/>
  <c r="B104" i="11"/>
  <c r="C104" i="11"/>
  <c r="H104" i="11"/>
  <c r="A105" i="11"/>
  <c r="B105" i="11"/>
  <c r="C105" i="11"/>
  <c r="H105" i="11"/>
  <c r="F58" i="11"/>
  <c r="D59" i="11"/>
  <c r="E59" i="11"/>
  <c r="F58" i="7"/>
  <c r="D59" i="7"/>
  <c r="E59" i="7"/>
  <c r="D61" i="10"/>
  <c r="E61" i="10"/>
  <c r="F61" i="10"/>
  <c r="F60" i="10"/>
  <c r="H128" i="11"/>
  <c r="G79" i="10"/>
  <c r="D60" i="7"/>
  <c r="E60" i="7"/>
  <c r="F59" i="7"/>
  <c r="D60" i="11"/>
  <c r="E60" i="11"/>
  <c r="F59" i="11"/>
  <c r="J58" i="7"/>
  <c r="L58" i="7"/>
  <c r="J58" i="11"/>
  <c r="F83" i="7"/>
  <c r="D96" i="7"/>
  <c r="E96" i="7"/>
  <c r="D83" i="11"/>
  <c r="E83" i="11"/>
  <c r="F82" i="11"/>
  <c r="J82" i="11"/>
  <c r="L82" i="11"/>
  <c r="H83" i="11"/>
  <c r="D83" i="4"/>
  <c r="E83" i="4"/>
  <c r="F82" i="4"/>
  <c r="F80" i="10"/>
  <c r="D96" i="11"/>
  <c r="E96" i="11"/>
  <c r="F83" i="11"/>
  <c r="J83" i="11"/>
  <c r="K83" i="11"/>
  <c r="J59" i="7"/>
  <c r="L59" i="7"/>
  <c r="L58" i="11"/>
  <c r="F96" i="7"/>
  <c r="D97" i="7"/>
  <c r="E97" i="7"/>
  <c r="J59" i="11"/>
  <c r="L59" i="11"/>
  <c r="F60" i="7"/>
  <c r="D61" i="7"/>
  <c r="E61" i="7"/>
  <c r="F61" i="7"/>
  <c r="D96" i="4"/>
  <c r="E96" i="4"/>
  <c r="F83" i="4"/>
  <c r="J83" i="7"/>
  <c r="L83" i="7"/>
  <c r="F60" i="11"/>
  <c r="D61" i="11"/>
  <c r="E61" i="11"/>
  <c r="F61" i="11"/>
  <c r="G83" i="11"/>
  <c r="F96" i="4"/>
  <c r="D97" i="4"/>
  <c r="E97" i="4"/>
  <c r="F97" i="7"/>
  <c r="D98" i="7"/>
  <c r="E98" i="7"/>
  <c r="F96" i="11"/>
  <c r="D97" i="11"/>
  <c r="E97" i="11"/>
  <c r="J61" i="7"/>
  <c r="L61" i="7"/>
  <c r="J96" i="7"/>
  <c r="L96" i="7"/>
  <c r="J61" i="11"/>
  <c r="L61" i="11"/>
  <c r="J60" i="11"/>
  <c r="L60" i="11"/>
  <c r="J60" i="7"/>
  <c r="L60" i="7"/>
  <c r="F82" i="10"/>
  <c r="F83" i="10"/>
  <c r="D99" i="7"/>
  <c r="E99" i="7"/>
  <c r="F98" i="7"/>
  <c r="G82" i="10"/>
  <c r="J97" i="7"/>
  <c r="L97" i="7"/>
  <c r="F97" i="11"/>
  <c r="D98" i="11"/>
  <c r="E98" i="11"/>
  <c r="F97" i="4"/>
  <c r="D98" i="4"/>
  <c r="E98" i="4"/>
  <c r="J96" i="11"/>
  <c r="L96" i="11"/>
  <c r="J97" i="11"/>
  <c r="L97" i="11"/>
  <c r="D100" i="7"/>
  <c r="E100" i="7"/>
  <c r="F99" i="7"/>
  <c r="G83" i="10"/>
  <c r="D99" i="4"/>
  <c r="E99" i="4"/>
  <c r="F98" i="4"/>
  <c r="D99" i="11"/>
  <c r="E99" i="11"/>
  <c r="F98" i="11"/>
  <c r="J98" i="7"/>
  <c r="F96" i="10"/>
  <c r="F99" i="11"/>
  <c r="D100" i="11"/>
  <c r="E100" i="11"/>
  <c r="F99" i="4"/>
  <c r="D100" i="4"/>
  <c r="E100" i="4"/>
  <c r="F97" i="10"/>
  <c r="J99" i="7"/>
  <c r="J98" i="11"/>
  <c r="L98" i="11"/>
  <c r="F100" i="7"/>
  <c r="D101" i="7"/>
  <c r="E101" i="7"/>
  <c r="F101" i="7"/>
  <c r="D102" i="7"/>
  <c r="E102" i="7"/>
  <c r="D101" i="11"/>
  <c r="E101" i="11"/>
  <c r="F100" i="11"/>
  <c r="J100" i="7"/>
  <c r="L100" i="7"/>
  <c r="L99" i="7"/>
  <c r="D101" i="4"/>
  <c r="E101" i="4"/>
  <c r="F100" i="4"/>
  <c r="J99" i="11"/>
  <c r="L99" i="11"/>
  <c r="F98" i="10"/>
  <c r="G100" i="4"/>
  <c r="F102" i="7"/>
  <c r="D103" i="7"/>
  <c r="E103" i="7"/>
  <c r="F101" i="4"/>
  <c r="D102" i="4"/>
  <c r="E102" i="4"/>
  <c r="J100" i="11"/>
  <c r="L100" i="11"/>
  <c r="J101" i="7"/>
  <c r="L101" i="7"/>
  <c r="F99" i="10"/>
  <c r="F101" i="11"/>
  <c r="D102" i="11"/>
  <c r="E102" i="11"/>
  <c r="F100" i="10"/>
  <c r="F103" i="7"/>
  <c r="D104" i="7"/>
  <c r="E104" i="7"/>
  <c r="J102" i="7"/>
  <c r="F102" i="11"/>
  <c r="D103" i="11"/>
  <c r="E103" i="11"/>
  <c r="F102" i="4"/>
  <c r="D103" i="4"/>
  <c r="E103" i="4"/>
  <c r="J101" i="11"/>
  <c r="L101" i="11"/>
  <c r="G101" i="4"/>
  <c r="F103" i="11"/>
  <c r="D104" i="11"/>
  <c r="E104" i="11"/>
  <c r="F104" i="7"/>
  <c r="D105" i="7"/>
  <c r="E105" i="7"/>
  <c r="F101" i="10"/>
  <c r="J102" i="11"/>
  <c r="L102" i="11"/>
  <c r="J103" i="7"/>
  <c r="L103" i="7"/>
  <c r="D104" i="4"/>
  <c r="E104" i="4"/>
  <c r="F103" i="4"/>
  <c r="G102" i="4"/>
  <c r="L102" i="7"/>
  <c r="F104" i="4"/>
  <c r="D105" i="4"/>
  <c r="E105" i="4"/>
  <c r="D105" i="11"/>
  <c r="E105" i="11"/>
  <c r="F104" i="11"/>
  <c r="F102" i="10"/>
  <c r="J103" i="11"/>
  <c r="L103" i="11"/>
  <c r="F105" i="7"/>
  <c r="D119" i="7"/>
  <c r="E119" i="7"/>
  <c r="J104" i="7"/>
  <c r="L104" i="7"/>
  <c r="F119" i="7"/>
  <c r="D120" i="7"/>
  <c r="E120" i="7"/>
  <c r="F103" i="10"/>
  <c r="J104" i="11"/>
  <c r="D119" i="4"/>
  <c r="E119" i="4"/>
  <c r="F105" i="4"/>
  <c r="J105" i="7"/>
  <c r="L105" i="7"/>
  <c r="D119" i="11"/>
  <c r="E119" i="11"/>
  <c r="F105" i="11"/>
  <c r="F104" i="10"/>
  <c r="F119" i="11"/>
  <c r="D120" i="11"/>
  <c r="E120" i="11"/>
  <c r="F119" i="4"/>
  <c r="D120" i="4"/>
  <c r="E120" i="4"/>
  <c r="F120" i="7"/>
  <c r="D121" i="7"/>
  <c r="E121" i="7"/>
  <c r="J105" i="11"/>
  <c r="L105" i="11"/>
  <c r="J119" i="7"/>
  <c r="J120" i="7"/>
  <c r="L120" i="7"/>
  <c r="F120" i="11"/>
  <c r="D121" i="11"/>
  <c r="E121" i="11"/>
  <c r="F105" i="10"/>
  <c r="J119" i="11"/>
  <c r="L119" i="11"/>
  <c r="F121" i="7"/>
  <c r="D122" i="7"/>
  <c r="E122" i="7"/>
  <c r="F120" i="4"/>
  <c r="D121" i="4"/>
  <c r="E121" i="4"/>
  <c r="F122" i="7"/>
  <c r="D123" i="7"/>
  <c r="E123" i="7"/>
  <c r="D122" i="11"/>
  <c r="E122" i="11"/>
  <c r="F121" i="11"/>
  <c r="J120" i="11"/>
  <c r="L120" i="11"/>
  <c r="D122" i="4"/>
  <c r="E122" i="4"/>
  <c r="F121" i="4"/>
  <c r="J121" i="7"/>
  <c r="L121" i="7"/>
  <c r="F119" i="10"/>
  <c r="F122" i="11"/>
  <c r="D123" i="11"/>
  <c r="E123" i="11"/>
  <c r="F120" i="10"/>
  <c r="F123" i="7"/>
  <c r="D124" i="7"/>
  <c r="E124" i="7"/>
  <c r="F122" i="4"/>
  <c r="D123" i="4"/>
  <c r="E123" i="4"/>
  <c r="J121" i="11"/>
  <c r="L121" i="11"/>
  <c r="J122" i="7"/>
  <c r="L122" i="7"/>
  <c r="F124" i="7"/>
  <c r="D125" i="7"/>
  <c r="E125" i="7"/>
  <c r="G120" i="10"/>
  <c r="F123" i="11"/>
  <c r="D124" i="11"/>
  <c r="E124" i="11"/>
  <c r="F123" i="4"/>
  <c r="D124" i="4"/>
  <c r="E124" i="4"/>
  <c r="J123" i="7"/>
  <c r="L123" i="7"/>
  <c r="F121" i="10"/>
  <c r="J122" i="11"/>
  <c r="L122" i="11"/>
  <c r="J123" i="11"/>
  <c r="L123" i="11"/>
  <c r="G123" i="11"/>
  <c r="D126" i="7"/>
  <c r="E126" i="7"/>
  <c r="F125" i="7"/>
  <c r="F122" i="10"/>
  <c r="J124" i="7"/>
  <c r="L124" i="7"/>
  <c r="G121" i="10"/>
  <c r="D125" i="4"/>
  <c r="E125" i="4"/>
  <c r="F124" i="4"/>
  <c r="D125" i="11"/>
  <c r="E125" i="11"/>
  <c r="F124" i="11"/>
  <c r="G124" i="4"/>
  <c r="F123" i="10"/>
  <c r="J125" i="7"/>
  <c r="L125" i="7"/>
  <c r="D126" i="4"/>
  <c r="E126" i="4"/>
  <c r="F125" i="4"/>
  <c r="J124" i="11"/>
  <c r="L124" i="11"/>
  <c r="G122" i="10"/>
  <c r="D127" i="7"/>
  <c r="E127" i="7"/>
  <c r="F126" i="7"/>
  <c r="F125" i="11"/>
  <c r="D126" i="11"/>
  <c r="E126" i="11"/>
  <c r="J125" i="11"/>
  <c r="L125" i="11"/>
  <c r="F127" i="7"/>
  <c r="D128" i="7"/>
  <c r="E128" i="7"/>
  <c r="F128" i="7"/>
  <c r="G123" i="10"/>
  <c r="F126" i="4"/>
  <c r="D127" i="4"/>
  <c r="E127" i="4"/>
  <c r="F124" i="10"/>
  <c r="F126" i="11"/>
  <c r="D127" i="11"/>
  <c r="E127" i="11"/>
  <c r="J126" i="7"/>
  <c r="L126" i="7"/>
  <c r="F127" i="11"/>
  <c r="D128" i="11"/>
  <c r="E128" i="11"/>
  <c r="F128" i="11"/>
  <c r="D126" i="10"/>
  <c r="E126" i="10"/>
  <c r="J126" i="11"/>
  <c r="L126" i="11"/>
  <c r="G124" i="10"/>
  <c r="F127" i="4"/>
  <c r="D128" i="4"/>
  <c r="E128" i="4"/>
  <c r="F128" i="4"/>
  <c r="J128" i="7"/>
  <c r="L128" i="7"/>
  <c r="J127" i="7"/>
  <c r="J128" i="11"/>
  <c r="K128" i="11"/>
  <c r="G128" i="11"/>
  <c r="J127" i="11"/>
  <c r="L127" i="11"/>
  <c r="F126" i="10"/>
  <c r="D127" i="10"/>
  <c r="E127" i="10"/>
  <c r="F127" i="10"/>
  <c r="D128" i="10"/>
  <c r="E128" i="10"/>
  <c r="F128" i="10"/>
  <c r="L127" i="7"/>
  <c r="L119" i="7"/>
  <c r="L98" i="7"/>
  <c r="L104" i="11"/>
  <c r="J75" i="7"/>
  <c r="L75" i="7"/>
  <c r="H126" i="10"/>
  <c r="H127" i="10"/>
  <c r="C97" i="7"/>
  <c r="C103" i="7"/>
  <c r="C100" i="7"/>
  <c r="C105" i="7"/>
  <c r="C99" i="7"/>
  <c r="C102" i="7"/>
  <c r="C96" i="7"/>
  <c r="H96" i="7"/>
  <c r="G96" i="7"/>
  <c r="C98" i="7"/>
  <c r="C54" i="11"/>
  <c r="C59" i="11"/>
  <c r="C58" i="11"/>
  <c r="H59" i="11"/>
  <c r="C53" i="11"/>
  <c r="C52" i="11"/>
  <c r="H52" i="11"/>
  <c r="L52" i="11"/>
  <c r="C57" i="11"/>
  <c r="C61" i="11"/>
  <c r="C60" i="11"/>
  <c r="H61" i="11"/>
  <c r="C56" i="11"/>
  <c r="C55" i="11"/>
  <c r="H56" i="11"/>
  <c r="K56" i="11"/>
  <c r="H98" i="8"/>
  <c r="H97" i="8"/>
  <c r="C74" i="7"/>
  <c r="H74" i="7"/>
  <c r="C80" i="7"/>
  <c r="C83" i="7"/>
  <c r="C81" i="7"/>
  <c r="B22" i="7"/>
  <c r="D23" i="7"/>
  <c r="G26" i="10"/>
  <c r="B22" i="10"/>
  <c r="B108" i="10"/>
  <c r="H76" i="10"/>
  <c r="H75" i="10"/>
  <c r="H55" i="10"/>
  <c r="H121" i="4"/>
  <c r="C57" i="4"/>
  <c r="H58" i="4"/>
  <c r="C56" i="4"/>
  <c r="C59" i="4"/>
  <c r="H59" i="4"/>
  <c r="C53" i="4"/>
  <c r="C52" i="4"/>
  <c r="H53" i="4"/>
  <c r="C54" i="4"/>
  <c r="C61" i="4"/>
  <c r="H61" i="4"/>
  <c r="C55" i="4"/>
  <c r="H52" i="4"/>
  <c r="H103" i="4"/>
  <c r="H60" i="4"/>
  <c r="C126" i="8"/>
  <c r="C119" i="8"/>
  <c r="H119" i="8"/>
  <c r="C123" i="8"/>
  <c r="C122" i="8"/>
  <c r="H123" i="8"/>
  <c r="C124" i="8"/>
  <c r="C125" i="8"/>
  <c r="H125" i="8"/>
  <c r="C127" i="8"/>
  <c r="C121" i="8"/>
  <c r="C120" i="8"/>
  <c r="H119" i="11"/>
  <c r="G119" i="11"/>
  <c r="G56" i="11"/>
  <c r="G103" i="4"/>
  <c r="H57" i="11"/>
  <c r="K57" i="11"/>
  <c r="G127" i="10"/>
  <c r="K52" i="11"/>
  <c r="G126" i="10"/>
  <c r="H57" i="4"/>
  <c r="G75" i="10"/>
  <c r="C99" i="10"/>
  <c r="C100" i="10"/>
  <c r="H100" i="10"/>
  <c r="G100" i="10"/>
  <c r="C103" i="10"/>
  <c r="C97" i="10"/>
  <c r="C105" i="10"/>
  <c r="C96" i="10"/>
  <c r="C101" i="10"/>
  <c r="C102" i="10"/>
  <c r="H102" i="10"/>
  <c r="C104" i="10"/>
  <c r="C98" i="10"/>
  <c r="H55" i="11"/>
  <c r="H53" i="11"/>
  <c r="G53" i="11"/>
  <c r="H99" i="7"/>
  <c r="K99" i="7"/>
  <c r="G121" i="4"/>
  <c r="G52" i="4"/>
  <c r="G76" i="10"/>
  <c r="H55" i="4"/>
  <c r="G55" i="10"/>
  <c r="H128" i="8"/>
  <c r="H105" i="10"/>
  <c r="G57" i="4"/>
  <c r="G55" i="11"/>
  <c r="K55" i="11"/>
  <c r="G57" i="11"/>
  <c r="E16" i="11"/>
  <c r="K123" i="11"/>
  <c r="J74" i="7"/>
  <c r="L74" i="7"/>
  <c r="H16" i="11"/>
  <c r="D16" i="11"/>
  <c r="D17" i="11"/>
  <c r="D27" i="11"/>
  <c r="E16" i="10"/>
  <c r="H16" i="10"/>
  <c r="J77" i="4"/>
  <c r="L77" i="4"/>
  <c r="J78" i="4"/>
  <c r="L78" i="4"/>
  <c r="J79" i="4"/>
  <c r="L79" i="4"/>
  <c r="J82" i="4"/>
  <c r="L82" i="4"/>
  <c r="J120" i="4"/>
  <c r="L120" i="4"/>
  <c r="J122" i="4"/>
  <c r="L122" i="4"/>
  <c r="J127" i="4"/>
  <c r="L127" i="4"/>
  <c r="J53" i="4"/>
  <c r="J57" i="4"/>
  <c r="J81" i="4"/>
  <c r="L81" i="4"/>
  <c r="J99" i="4"/>
  <c r="L99" i="4"/>
  <c r="J101" i="4"/>
  <c r="J104" i="4"/>
  <c r="L104" i="4"/>
  <c r="J119" i="4"/>
  <c r="L119" i="4"/>
  <c r="J121" i="4"/>
  <c r="L121" i="4"/>
  <c r="J123" i="4"/>
  <c r="L123" i="4"/>
  <c r="J128" i="4"/>
  <c r="L128" i="4"/>
  <c r="J74" i="4"/>
  <c r="L74" i="4"/>
  <c r="J75" i="4"/>
  <c r="L75" i="4"/>
  <c r="J76" i="4"/>
  <c r="L76" i="4"/>
  <c r="J80" i="4"/>
  <c r="L80" i="4"/>
  <c r="J83" i="4"/>
  <c r="L83" i="4"/>
  <c r="L84" i="4"/>
  <c r="F25" i="4"/>
  <c r="F26" i="4"/>
  <c r="J55" i="4"/>
  <c r="L55" i="4"/>
  <c r="J59" i="4"/>
  <c r="L59" i="4"/>
  <c r="J61" i="4"/>
  <c r="L61" i="4"/>
  <c r="J60" i="4"/>
  <c r="L60" i="4"/>
  <c r="J96" i="4"/>
  <c r="L96" i="4"/>
  <c r="J97" i="4"/>
  <c r="L97" i="4"/>
  <c r="J105" i="4"/>
  <c r="L105" i="4"/>
  <c r="J125" i="4"/>
  <c r="L125" i="4"/>
  <c r="J52" i="4"/>
  <c r="K52" i="4"/>
  <c r="J54" i="4"/>
  <c r="J56" i="4"/>
  <c r="L56" i="4"/>
  <c r="J58" i="4"/>
  <c r="L58" i="4"/>
  <c r="J98" i="4"/>
  <c r="L98" i="4"/>
  <c r="J100" i="4"/>
  <c r="J102" i="4"/>
  <c r="L102" i="4"/>
  <c r="J103" i="4"/>
  <c r="L103" i="4"/>
  <c r="J124" i="4"/>
  <c r="J126" i="4"/>
  <c r="L126" i="4"/>
  <c r="B15" i="10"/>
  <c r="M9" i="6"/>
  <c r="K121" i="4"/>
  <c r="J50" i="10"/>
  <c r="K55" i="4"/>
  <c r="H78" i="8"/>
  <c r="H60" i="8"/>
  <c r="H58" i="8"/>
  <c r="H82" i="8"/>
  <c r="H54" i="8"/>
  <c r="H121" i="8"/>
  <c r="H59" i="8"/>
  <c r="H75" i="8"/>
  <c r="D53" i="8"/>
  <c r="E53" i="8"/>
  <c r="F52" i="8"/>
  <c r="J52" i="8"/>
  <c r="L52" i="8"/>
  <c r="D74" i="8"/>
  <c r="E74" i="8"/>
  <c r="G59" i="11"/>
  <c r="K59" i="11"/>
  <c r="G79" i="11"/>
  <c r="K79" i="11"/>
  <c r="K61" i="11"/>
  <c r="G61" i="11"/>
  <c r="G102" i="11"/>
  <c r="K102" i="11"/>
  <c r="G121" i="11"/>
  <c r="K121" i="11"/>
  <c r="G77" i="10"/>
  <c r="G61" i="4"/>
  <c r="G99" i="11"/>
  <c r="K99" i="11"/>
  <c r="G58" i="4"/>
  <c r="K58" i="4"/>
  <c r="G102" i="10"/>
  <c r="K53" i="4"/>
  <c r="G53" i="4"/>
  <c r="L53" i="4"/>
  <c r="K101" i="11"/>
  <c r="G101" i="11"/>
  <c r="C77" i="4"/>
  <c r="C81" i="4"/>
  <c r="C75" i="4"/>
  <c r="C74" i="4"/>
  <c r="H75" i="4"/>
  <c r="K75" i="4"/>
  <c r="C80" i="4"/>
  <c r="C83" i="4"/>
  <c r="H74" i="4"/>
  <c r="C79" i="4"/>
  <c r="C78" i="4"/>
  <c r="H79" i="4"/>
  <c r="H78" i="4"/>
  <c r="C76" i="4"/>
  <c r="C82" i="4"/>
  <c r="H82" i="4"/>
  <c r="C54" i="7"/>
  <c r="C53" i="7"/>
  <c r="O54" i="7"/>
  <c r="C57" i="7"/>
  <c r="C56" i="7"/>
  <c r="O57" i="7"/>
  <c r="C52" i="7"/>
  <c r="H52" i="7"/>
  <c r="C55" i="7"/>
  <c r="H53" i="7"/>
  <c r="H103" i="7"/>
  <c r="H101" i="10"/>
  <c r="G101" i="10"/>
  <c r="G60" i="4"/>
  <c r="H97" i="10"/>
  <c r="H103" i="10"/>
  <c r="H127" i="8"/>
  <c r="C60" i="7"/>
  <c r="C58" i="7"/>
  <c r="O58" i="7"/>
  <c r="H122" i="11"/>
  <c r="H56" i="4"/>
  <c r="H122" i="4"/>
  <c r="C98" i="4"/>
  <c r="H99" i="4"/>
  <c r="G55" i="4"/>
  <c r="H98" i="10"/>
  <c r="G52" i="11"/>
  <c r="G105" i="10"/>
  <c r="H60" i="11"/>
  <c r="C61" i="7"/>
  <c r="C59" i="7"/>
  <c r="O59" i="7"/>
  <c r="H78" i="10"/>
  <c r="H120" i="11"/>
  <c r="L128" i="11"/>
  <c r="K102" i="4"/>
  <c r="H102" i="8"/>
  <c r="D27" i="8"/>
  <c r="H100" i="7"/>
  <c r="G100" i="7"/>
  <c r="O53" i="7"/>
  <c r="O56" i="7"/>
  <c r="H81" i="7"/>
  <c r="H75" i="7"/>
  <c r="G75" i="7"/>
  <c r="K96" i="7"/>
  <c r="O52" i="7"/>
  <c r="H98" i="7"/>
  <c r="G98" i="7"/>
  <c r="H101" i="7"/>
  <c r="G101" i="7"/>
  <c r="H56" i="7"/>
  <c r="K56" i="7"/>
  <c r="H76" i="7"/>
  <c r="K76" i="7"/>
  <c r="H104" i="7"/>
  <c r="G104" i="7"/>
  <c r="G56" i="7"/>
  <c r="K81" i="7"/>
  <c r="G81" i="7"/>
  <c r="B123" i="7"/>
  <c r="C123" i="7"/>
  <c r="H123" i="7"/>
  <c r="B119" i="7"/>
  <c r="C119" i="7"/>
  <c r="H119" i="7"/>
  <c r="B124" i="7"/>
  <c r="C124" i="7"/>
  <c r="B121" i="7"/>
  <c r="C121" i="7"/>
  <c r="B120" i="7"/>
  <c r="C120" i="7"/>
  <c r="H128" i="7"/>
  <c r="G128" i="7"/>
  <c r="H102" i="7"/>
  <c r="H57" i="7"/>
  <c r="K57" i="7"/>
  <c r="B125" i="7"/>
  <c r="C125" i="7"/>
  <c r="H79" i="7"/>
  <c r="K79" i="7"/>
  <c r="H82" i="7"/>
  <c r="G82" i="7"/>
  <c r="H58" i="7"/>
  <c r="K58" i="7"/>
  <c r="H60" i="7"/>
  <c r="K60" i="7"/>
  <c r="H61" i="7"/>
  <c r="H83" i="7"/>
  <c r="K83" i="7"/>
  <c r="H77" i="7"/>
  <c r="G77" i="7"/>
  <c r="H127" i="7"/>
  <c r="K127" i="7"/>
  <c r="H80" i="7"/>
  <c r="G80" i="7"/>
  <c r="H105" i="7"/>
  <c r="H124" i="7"/>
  <c r="G124" i="7"/>
  <c r="L84" i="7"/>
  <c r="F25" i="7"/>
  <c r="F26" i="7"/>
  <c r="D27" i="10"/>
  <c r="L129" i="11"/>
  <c r="H25" i="11"/>
  <c r="L83" i="11"/>
  <c r="L84" i="11"/>
  <c r="F25" i="11"/>
  <c r="F26" i="11"/>
  <c r="G98" i="10"/>
  <c r="K60" i="11"/>
  <c r="G60" i="11"/>
  <c r="G126" i="11"/>
  <c r="K126" i="11"/>
  <c r="G57" i="10"/>
  <c r="G122" i="4"/>
  <c r="K101" i="7"/>
  <c r="G60" i="10"/>
  <c r="K124" i="11"/>
  <c r="G124" i="11"/>
  <c r="G80" i="10"/>
  <c r="K103" i="7"/>
  <c r="G103" i="7"/>
  <c r="K104" i="11"/>
  <c r="G104" i="11"/>
  <c r="G61" i="10"/>
  <c r="G105" i="11"/>
  <c r="K105" i="11"/>
  <c r="G99" i="7"/>
  <c r="K119" i="11"/>
  <c r="H120" i="8"/>
  <c r="H126" i="8"/>
  <c r="H78" i="7"/>
  <c r="L106" i="7"/>
  <c r="G25" i="7"/>
  <c r="H55" i="8"/>
  <c r="H97" i="11"/>
  <c r="H122" i="8"/>
  <c r="H124" i="8"/>
  <c r="H54" i="4"/>
  <c r="H54" i="11"/>
  <c r="L54" i="11"/>
  <c r="L106" i="11"/>
  <c r="G25" i="11"/>
  <c r="H61" i="8"/>
  <c r="H125" i="4"/>
  <c r="G125" i="4"/>
  <c r="H128" i="10"/>
  <c r="H58" i="11"/>
  <c r="L129" i="7"/>
  <c r="H25" i="7"/>
  <c r="H104" i="10"/>
  <c r="H99" i="10"/>
  <c r="H83" i="4"/>
  <c r="H99" i="8"/>
  <c r="H128" i="4"/>
  <c r="G128" i="4"/>
  <c r="K53" i="11"/>
  <c r="K75" i="7"/>
  <c r="H96" i="10"/>
  <c r="G59" i="4"/>
  <c r="K82" i="11"/>
  <c r="G82" i="11"/>
  <c r="G103" i="11"/>
  <c r="K103" i="11"/>
  <c r="G58" i="10"/>
  <c r="G100" i="11"/>
  <c r="K100" i="11"/>
  <c r="K82" i="4"/>
  <c r="G82" i="4"/>
  <c r="K77" i="11"/>
  <c r="G77" i="11"/>
  <c r="K98" i="11"/>
  <c r="G98" i="11"/>
  <c r="K52" i="7"/>
  <c r="G52" i="7"/>
  <c r="L52" i="7"/>
  <c r="H129" i="10"/>
  <c r="G119" i="10"/>
  <c r="G128" i="10"/>
  <c r="G129" i="10"/>
  <c r="G96" i="4"/>
  <c r="K96" i="4"/>
  <c r="G74" i="7"/>
  <c r="K98" i="7"/>
  <c r="G127" i="11"/>
  <c r="K127" i="11"/>
  <c r="K80" i="11"/>
  <c r="G80" i="11"/>
  <c r="G75" i="4"/>
  <c r="G127" i="7"/>
  <c r="H84" i="10"/>
  <c r="G74" i="10"/>
  <c r="G78" i="10"/>
  <c r="H84" i="8"/>
  <c r="G54" i="10"/>
  <c r="G120" i="4"/>
  <c r="K120" i="4"/>
  <c r="K119" i="4"/>
  <c r="G119" i="4"/>
  <c r="H62" i="11"/>
  <c r="L53" i="11"/>
  <c r="G81" i="11"/>
  <c r="K81" i="11"/>
  <c r="G83" i="4"/>
  <c r="G122" i="11"/>
  <c r="K122" i="11"/>
  <c r="K74" i="11"/>
  <c r="G74" i="11"/>
  <c r="K96" i="11"/>
  <c r="H106" i="11"/>
  <c r="G96" i="11"/>
  <c r="G125" i="11"/>
  <c r="K125" i="11"/>
  <c r="G76" i="11"/>
  <c r="K76" i="11"/>
  <c r="G52" i="10"/>
  <c r="G123" i="4"/>
  <c r="G97" i="11"/>
  <c r="K97" i="11"/>
  <c r="K120" i="11"/>
  <c r="G120" i="11"/>
  <c r="H129" i="11"/>
  <c r="I127" i="11"/>
  <c r="H97" i="7"/>
  <c r="C126" i="4"/>
  <c r="C104" i="4"/>
  <c r="C97" i="4"/>
  <c r="H78" i="11"/>
  <c r="H84" i="11"/>
  <c r="H53" i="10"/>
  <c r="K74" i="7"/>
  <c r="K60" i="4"/>
  <c r="K123" i="4"/>
  <c r="K122" i="4"/>
  <c r="K61" i="4"/>
  <c r="L52" i="4"/>
  <c r="K128" i="4"/>
  <c r="K59" i="4"/>
  <c r="L100" i="4"/>
  <c r="K100" i="4"/>
  <c r="L101" i="4"/>
  <c r="K101" i="4"/>
  <c r="K83" i="4"/>
  <c r="L62" i="11"/>
  <c r="E25" i="11"/>
  <c r="J52" i="10"/>
  <c r="J79" i="10"/>
  <c r="J80" i="10"/>
  <c r="J61" i="10"/>
  <c r="J99" i="10"/>
  <c r="L99" i="10"/>
  <c r="J103" i="10"/>
  <c r="L103" i="10"/>
  <c r="J120" i="10"/>
  <c r="J125" i="10"/>
  <c r="J74" i="10"/>
  <c r="J56" i="10"/>
  <c r="J77" i="10"/>
  <c r="J59" i="10"/>
  <c r="J81" i="10"/>
  <c r="J82" i="10"/>
  <c r="J96" i="10"/>
  <c r="L96" i="10"/>
  <c r="J102" i="10"/>
  <c r="J105" i="10"/>
  <c r="J119" i="10"/>
  <c r="J54" i="10"/>
  <c r="J55" i="10"/>
  <c r="J98" i="10"/>
  <c r="J122" i="10"/>
  <c r="J126" i="10"/>
  <c r="J127" i="10"/>
  <c r="J53" i="10"/>
  <c r="L53" i="10"/>
  <c r="J75" i="10"/>
  <c r="J76" i="10"/>
  <c r="J57" i="10"/>
  <c r="J58" i="10"/>
  <c r="J78" i="10"/>
  <c r="J60" i="10"/>
  <c r="J83" i="10"/>
  <c r="J97" i="10"/>
  <c r="L97" i="10"/>
  <c r="J100" i="10"/>
  <c r="J101" i="10"/>
  <c r="J104" i="10"/>
  <c r="L104" i="10"/>
  <c r="J121" i="10"/>
  <c r="J123" i="10"/>
  <c r="J124" i="10"/>
  <c r="J128" i="10"/>
  <c r="K103" i="4"/>
  <c r="L124" i="4"/>
  <c r="L129" i="4"/>
  <c r="H25" i="4"/>
  <c r="K124" i="4"/>
  <c r="K57" i="4"/>
  <c r="L57" i="4"/>
  <c r="H106" i="8"/>
  <c r="H62" i="8"/>
  <c r="K52" i="8"/>
  <c r="G52" i="8"/>
  <c r="F53" i="8"/>
  <c r="D54" i="8"/>
  <c r="E54" i="8"/>
  <c r="D75" i="8"/>
  <c r="E75" i="8"/>
  <c r="F74" i="8"/>
  <c r="K53" i="7"/>
  <c r="G53" i="7"/>
  <c r="H62" i="4"/>
  <c r="L54" i="4"/>
  <c r="L62" i="4"/>
  <c r="E25" i="4"/>
  <c r="E26" i="4"/>
  <c r="B26" i="4"/>
  <c r="K54" i="4"/>
  <c r="K56" i="4"/>
  <c r="G56" i="4"/>
  <c r="K124" i="7"/>
  <c r="G84" i="10"/>
  <c r="K125" i="4"/>
  <c r="G54" i="4"/>
  <c r="H55" i="7"/>
  <c r="K55" i="7"/>
  <c r="G76" i="7"/>
  <c r="O55" i="7"/>
  <c r="O60" i="7"/>
  <c r="O61" i="7"/>
  <c r="O62" i="7"/>
  <c r="K74" i="4"/>
  <c r="G74" i="4"/>
  <c r="H81" i="4"/>
  <c r="G57" i="7"/>
  <c r="H54" i="7"/>
  <c r="L54" i="7"/>
  <c r="H59" i="7"/>
  <c r="H125" i="7"/>
  <c r="K125" i="7"/>
  <c r="G103" i="10"/>
  <c r="H76" i="4"/>
  <c r="H77" i="4"/>
  <c r="G97" i="10"/>
  <c r="G78" i="4"/>
  <c r="K78" i="4"/>
  <c r="H80" i="4"/>
  <c r="G99" i="4"/>
  <c r="K99" i="4"/>
  <c r="K79" i="4"/>
  <c r="G79" i="4"/>
  <c r="K128" i="7"/>
  <c r="K100" i="7"/>
  <c r="L53" i="7"/>
  <c r="G60" i="7"/>
  <c r="G58" i="7"/>
  <c r="H106" i="7"/>
  <c r="K80" i="7"/>
  <c r="H126" i="7"/>
  <c r="K82" i="7"/>
  <c r="H121" i="7"/>
  <c r="G121" i="7"/>
  <c r="K104" i="7"/>
  <c r="K54" i="7"/>
  <c r="G54" i="7"/>
  <c r="H62" i="7"/>
  <c r="G79" i="7"/>
  <c r="H84" i="7"/>
  <c r="K77" i="7"/>
  <c r="H122" i="7"/>
  <c r="K122" i="7"/>
  <c r="G55" i="7"/>
  <c r="H120" i="7"/>
  <c r="K119" i="7"/>
  <c r="G119" i="7"/>
  <c r="K121" i="7"/>
  <c r="G83" i="7"/>
  <c r="G102" i="7"/>
  <c r="K102" i="7"/>
  <c r="K105" i="7"/>
  <c r="G105" i="7"/>
  <c r="K61" i="7"/>
  <c r="G61" i="7"/>
  <c r="G59" i="7"/>
  <c r="K59" i="7"/>
  <c r="G54" i="11"/>
  <c r="K54" i="11"/>
  <c r="G129" i="11"/>
  <c r="K129" i="11"/>
  <c r="B136" i="11"/>
  <c r="G99" i="10"/>
  <c r="K78" i="7"/>
  <c r="G78" i="7"/>
  <c r="H129" i="8"/>
  <c r="G104" i="10"/>
  <c r="K58" i="11"/>
  <c r="G58" i="11"/>
  <c r="B132" i="11"/>
  <c r="H13" i="11"/>
  <c r="J12" i="11"/>
  <c r="B134" i="11"/>
  <c r="H23" i="11"/>
  <c r="E26" i="11"/>
  <c r="B26" i="11"/>
  <c r="B25" i="11"/>
  <c r="H104" i="4"/>
  <c r="H105" i="4"/>
  <c r="G53" i="10"/>
  <c r="H126" i="4"/>
  <c r="H127" i="4"/>
  <c r="G62" i="10"/>
  <c r="G106" i="11"/>
  <c r="G96" i="10"/>
  <c r="H106" i="10"/>
  <c r="K78" i="11"/>
  <c r="K84" i="11"/>
  <c r="G78" i="11"/>
  <c r="G84" i="11"/>
  <c r="G97" i="7"/>
  <c r="K97" i="7"/>
  <c r="H62" i="10"/>
  <c r="B89" i="10"/>
  <c r="B87" i="10"/>
  <c r="F13" i="10"/>
  <c r="F23" i="10"/>
  <c r="B134" i="10"/>
  <c r="H23" i="10"/>
  <c r="B132" i="10"/>
  <c r="H13" i="10"/>
  <c r="J12" i="10"/>
  <c r="G123" i="7"/>
  <c r="K123" i="7"/>
  <c r="H97" i="4"/>
  <c r="H98" i="4"/>
  <c r="K106" i="11"/>
  <c r="K96" i="10"/>
  <c r="K99" i="10"/>
  <c r="L106" i="4"/>
  <c r="G25" i="4"/>
  <c r="B25" i="4"/>
  <c r="K53" i="10"/>
  <c r="K62" i="4"/>
  <c r="E27" i="4"/>
  <c r="K97" i="10"/>
  <c r="P10" i="6"/>
  <c r="O10" i="6"/>
  <c r="J6" i="32"/>
  <c r="K62" i="11"/>
  <c r="B68" i="11"/>
  <c r="E17" i="11"/>
  <c r="L62" i="7"/>
  <c r="E25" i="7"/>
  <c r="B25" i="7"/>
  <c r="K104" i="10"/>
  <c r="K103" i="10"/>
  <c r="L121" i="10"/>
  <c r="K121" i="10"/>
  <c r="L58" i="10"/>
  <c r="K58" i="10"/>
  <c r="L98" i="10"/>
  <c r="K98" i="10"/>
  <c r="L105" i="10"/>
  <c r="K105" i="10"/>
  <c r="L81" i="10"/>
  <c r="K81" i="10"/>
  <c r="L74" i="10"/>
  <c r="K74" i="10"/>
  <c r="L52" i="10"/>
  <c r="K52" i="10"/>
  <c r="L128" i="10"/>
  <c r="K128" i="10"/>
  <c r="K83" i="10"/>
  <c r="L83" i="10"/>
  <c r="L57" i="10"/>
  <c r="K57" i="10"/>
  <c r="L127" i="10"/>
  <c r="K127" i="10"/>
  <c r="K55" i="10"/>
  <c r="L55" i="10"/>
  <c r="L102" i="10"/>
  <c r="K102" i="10"/>
  <c r="K59" i="10"/>
  <c r="L59" i="10"/>
  <c r="L125" i="10"/>
  <c r="K125" i="10"/>
  <c r="L61" i="10"/>
  <c r="K61" i="10"/>
  <c r="L124" i="10"/>
  <c r="K124" i="10"/>
  <c r="L101" i="10"/>
  <c r="K101" i="10"/>
  <c r="L60" i="10"/>
  <c r="K60" i="10"/>
  <c r="L76" i="10"/>
  <c r="K76" i="10"/>
  <c r="L126" i="10"/>
  <c r="K126" i="10"/>
  <c r="L54" i="10"/>
  <c r="K54" i="10"/>
  <c r="L77" i="10"/>
  <c r="K77" i="10"/>
  <c r="K120" i="10"/>
  <c r="L120" i="10"/>
  <c r="L80" i="10"/>
  <c r="K80" i="10"/>
  <c r="L123" i="10"/>
  <c r="K123" i="10"/>
  <c r="L100" i="10"/>
  <c r="K100" i="10"/>
  <c r="L78" i="10"/>
  <c r="K78" i="10"/>
  <c r="L75" i="10"/>
  <c r="K75" i="10"/>
  <c r="K122" i="10"/>
  <c r="L122" i="10"/>
  <c r="L119" i="10"/>
  <c r="K119" i="10"/>
  <c r="K82" i="10"/>
  <c r="L82" i="10"/>
  <c r="L56" i="10"/>
  <c r="K56" i="10"/>
  <c r="L79" i="10"/>
  <c r="K79" i="10"/>
  <c r="J74" i="8"/>
  <c r="G74" i="8"/>
  <c r="D76" i="8"/>
  <c r="E76" i="8"/>
  <c r="F75" i="8"/>
  <c r="D55" i="8"/>
  <c r="E55" i="8"/>
  <c r="F54" i="8"/>
  <c r="G53" i="8"/>
  <c r="J53" i="8"/>
  <c r="H27" i="11"/>
  <c r="G125" i="7"/>
  <c r="K80" i="4"/>
  <c r="G80" i="4"/>
  <c r="G62" i="4"/>
  <c r="G106" i="10"/>
  <c r="H129" i="7"/>
  <c r="I127" i="7"/>
  <c r="K76" i="4"/>
  <c r="G76" i="4"/>
  <c r="H84" i="4"/>
  <c r="K77" i="4"/>
  <c r="G77" i="4"/>
  <c r="G81" i="4"/>
  <c r="K81" i="4"/>
  <c r="G84" i="7"/>
  <c r="B87" i="7"/>
  <c r="F13" i="7"/>
  <c r="E26" i="7"/>
  <c r="B26" i="7"/>
  <c r="M54" i="8"/>
  <c r="B135" i="11"/>
  <c r="H17" i="11"/>
  <c r="M60" i="8"/>
  <c r="M53" i="8"/>
  <c r="M59" i="8"/>
  <c r="M58" i="8"/>
  <c r="M55" i="8"/>
  <c r="M56" i="8"/>
  <c r="M57" i="8"/>
  <c r="M61" i="8"/>
  <c r="G122" i="7"/>
  <c r="G126" i="7"/>
  <c r="K126" i="7"/>
  <c r="K84" i="7"/>
  <c r="B91" i="7"/>
  <c r="G106" i="7"/>
  <c r="G23" i="7"/>
  <c r="K62" i="7"/>
  <c r="E27" i="7"/>
  <c r="G120" i="7"/>
  <c r="K120" i="7"/>
  <c r="K106" i="7"/>
  <c r="B113" i="7"/>
  <c r="G62" i="7"/>
  <c r="B65" i="7"/>
  <c r="E13" i="7"/>
  <c r="B89" i="7"/>
  <c r="F27" i="7"/>
  <c r="G62" i="11"/>
  <c r="F23" i="11"/>
  <c r="B87" i="11"/>
  <c r="F13" i="11"/>
  <c r="B89" i="11"/>
  <c r="G97" i="4"/>
  <c r="K97" i="4"/>
  <c r="H106" i="4"/>
  <c r="B68" i="7"/>
  <c r="E17" i="7"/>
  <c r="K127" i="4"/>
  <c r="G127" i="4"/>
  <c r="G27" i="11"/>
  <c r="B112" i="11"/>
  <c r="G17" i="11"/>
  <c r="B113" i="11"/>
  <c r="K126" i="4"/>
  <c r="K129" i="4"/>
  <c r="G126" i="4"/>
  <c r="H129" i="4"/>
  <c r="B111" i="7"/>
  <c r="B111" i="11"/>
  <c r="B109" i="11"/>
  <c r="G13" i="11"/>
  <c r="G23" i="11"/>
  <c r="K105" i="4"/>
  <c r="G105" i="4"/>
  <c r="G98" i="4"/>
  <c r="K98" i="4"/>
  <c r="F27" i="11"/>
  <c r="B90" i="11"/>
  <c r="F17" i="11"/>
  <c r="B91" i="11"/>
  <c r="B111" i="10"/>
  <c r="B109" i="10"/>
  <c r="G13" i="10"/>
  <c r="G23" i="10"/>
  <c r="B67" i="10"/>
  <c r="B65" i="10"/>
  <c r="E13" i="10"/>
  <c r="E23" i="10"/>
  <c r="G104" i="4"/>
  <c r="K104" i="4"/>
  <c r="J9" i="32"/>
  <c r="K106" i="10"/>
  <c r="B113" i="10"/>
  <c r="B112" i="7"/>
  <c r="G17" i="7"/>
  <c r="I10" i="6"/>
  <c r="G6" i="32"/>
  <c r="B68" i="4"/>
  <c r="E17" i="4"/>
  <c r="J10" i="6"/>
  <c r="L10" i="6"/>
  <c r="K10" i="6"/>
  <c r="K63" i="10"/>
  <c r="G9" i="32"/>
  <c r="E27" i="11"/>
  <c r="B27" i="11"/>
  <c r="L62" i="10"/>
  <c r="L63" i="10"/>
  <c r="L129" i="10"/>
  <c r="H25" i="10"/>
  <c r="L106" i="10"/>
  <c r="G25" i="10"/>
  <c r="K62" i="10"/>
  <c r="B69" i="10"/>
  <c r="E25" i="10"/>
  <c r="E27" i="10"/>
  <c r="K129" i="10"/>
  <c r="K84" i="10"/>
  <c r="K84" i="4"/>
  <c r="B90" i="4"/>
  <c r="F17" i="4"/>
  <c r="L84" i="10"/>
  <c r="F25" i="10"/>
  <c r="F26" i="10"/>
  <c r="D56" i="8"/>
  <c r="E56" i="8"/>
  <c r="F55" i="8"/>
  <c r="L74" i="8"/>
  <c r="K74" i="8"/>
  <c r="L53" i="8"/>
  <c r="K53" i="8"/>
  <c r="J75" i="8"/>
  <c r="G75" i="8"/>
  <c r="F76" i="8"/>
  <c r="D77" i="8"/>
  <c r="E77" i="8"/>
  <c r="J54" i="8"/>
  <c r="G54" i="8"/>
  <c r="F23" i="7"/>
  <c r="B67" i="4"/>
  <c r="E23" i="4"/>
  <c r="B65" i="4"/>
  <c r="E13" i="4"/>
  <c r="B69" i="4"/>
  <c r="G129" i="4"/>
  <c r="B132" i="4"/>
  <c r="H13" i="4"/>
  <c r="J12" i="4"/>
  <c r="G84" i="4"/>
  <c r="B90" i="7"/>
  <c r="F17" i="7"/>
  <c r="B112" i="10"/>
  <c r="G17" i="10"/>
  <c r="M52" i="8"/>
  <c r="N52" i="8"/>
  <c r="G129" i="7"/>
  <c r="B132" i="7"/>
  <c r="H13" i="7"/>
  <c r="J12" i="7"/>
  <c r="B109" i="7"/>
  <c r="G13" i="7"/>
  <c r="K129" i="7"/>
  <c r="H27" i="7"/>
  <c r="B134" i="7"/>
  <c r="B69" i="7"/>
  <c r="E23" i="7"/>
  <c r="G27" i="7"/>
  <c r="B67" i="7"/>
  <c r="G27" i="10"/>
  <c r="B67" i="11"/>
  <c r="E23" i="11"/>
  <c r="B23" i="11"/>
  <c r="B65" i="11"/>
  <c r="E13" i="11"/>
  <c r="B69" i="11"/>
  <c r="B23" i="10"/>
  <c r="B28" i="10"/>
  <c r="B39" i="10"/>
  <c r="H27" i="4"/>
  <c r="B135" i="4"/>
  <c r="H17" i="4"/>
  <c r="K106" i="4"/>
  <c r="H23" i="4"/>
  <c r="G106" i="4"/>
  <c r="N10" i="6"/>
  <c r="M10" i="6"/>
  <c r="B68" i="10"/>
  <c r="E17" i="10"/>
  <c r="H6" i="32"/>
  <c r="H9" i="32"/>
  <c r="B91" i="4"/>
  <c r="F27" i="4"/>
  <c r="B90" i="10"/>
  <c r="F17" i="10"/>
  <c r="F27" i="10"/>
  <c r="H27" i="10"/>
  <c r="B27" i="10"/>
  <c r="B91" i="10"/>
  <c r="B135" i="10"/>
  <c r="H17" i="10"/>
  <c r="B136" i="10"/>
  <c r="E26" i="10"/>
  <c r="B26" i="10"/>
  <c r="B25" i="10"/>
  <c r="N53" i="8"/>
  <c r="K54" i="8"/>
  <c r="N54" i="8"/>
  <c r="L54" i="8"/>
  <c r="D78" i="8"/>
  <c r="E78" i="8"/>
  <c r="F77" i="8"/>
  <c r="L75" i="8"/>
  <c r="K75" i="8"/>
  <c r="J55" i="8"/>
  <c r="G55" i="8"/>
  <c r="F56" i="8"/>
  <c r="D57" i="8"/>
  <c r="E57" i="8"/>
  <c r="G76" i="8"/>
  <c r="J76" i="8"/>
  <c r="B134" i="4"/>
  <c r="B28" i="11"/>
  <c r="B39" i="11"/>
  <c r="B136" i="4"/>
  <c r="B87" i="4"/>
  <c r="F13" i="4"/>
  <c r="B89" i="4"/>
  <c r="F23" i="4"/>
  <c r="B27" i="7"/>
  <c r="B42" i="11"/>
  <c r="B43" i="11"/>
  <c r="B17" i="11"/>
  <c r="B44" i="11"/>
  <c r="B45" i="11"/>
  <c r="O14" i="6"/>
  <c r="H23" i="7"/>
  <c r="B23" i="7"/>
  <c r="B28" i="7"/>
  <c r="B39" i="7"/>
  <c r="B40" i="7"/>
  <c r="B136" i="7"/>
  <c r="B135" i="7"/>
  <c r="H17" i="7"/>
  <c r="B112" i="4"/>
  <c r="G17" i="4"/>
  <c r="G27" i="4"/>
  <c r="B113" i="4"/>
  <c r="B41" i="10"/>
  <c r="B40" i="10"/>
  <c r="G23" i="4"/>
  <c r="B109" i="4"/>
  <c r="G13" i="4"/>
  <c r="B111" i="4"/>
  <c r="B41" i="11"/>
  <c r="B40" i="11"/>
  <c r="B32" i="11"/>
  <c r="B33" i="11"/>
  <c r="B34" i="11"/>
  <c r="B37" i="11"/>
  <c r="B27" i="4"/>
  <c r="B23" i="4"/>
  <c r="B42" i="4"/>
  <c r="B43" i="4"/>
  <c r="B17" i="10"/>
  <c r="B44" i="10"/>
  <c r="B45" i="10"/>
  <c r="M14" i="6"/>
  <c r="B42" i="10"/>
  <c r="B43" i="10"/>
  <c r="B32" i="10"/>
  <c r="B33" i="10"/>
  <c r="B34" i="10"/>
  <c r="B37" i="10"/>
  <c r="I9" i="32"/>
  <c r="I6" i="32"/>
  <c r="L55" i="8"/>
  <c r="K55" i="8"/>
  <c r="N55" i="8"/>
  <c r="J56" i="8"/>
  <c r="G56" i="8"/>
  <c r="K76" i="8"/>
  <c r="L76" i="8"/>
  <c r="J77" i="8"/>
  <c r="G77" i="8"/>
  <c r="F78" i="8"/>
  <c r="D79" i="8"/>
  <c r="E79" i="8"/>
  <c r="F57" i="8"/>
  <c r="D58" i="8"/>
  <c r="E58" i="8"/>
  <c r="B17" i="4"/>
  <c r="B42" i="7"/>
  <c r="B43" i="7"/>
  <c r="B17" i="7"/>
  <c r="B44" i="7"/>
  <c r="B45" i="7"/>
  <c r="K14" i="6"/>
  <c r="B41" i="7"/>
  <c r="B32" i="7"/>
  <c r="B33" i="7"/>
  <c r="B34" i="7"/>
  <c r="B37" i="7"/>
  <c r="D13" i="29"/>
  <c r="F13" i="29"/>
  <c r="O11" i="6"/>
  <c r="E13" i="29"/>
  <c r="M11" i="6"/>
  <c r="L77" i="8"/>
  <c r="K77" i="8"/>
  <c r="L56" i="8"/>
  <c r="K56" i="8"/>
  <c r="N56" i="8"/>
  <c r="D80" i="8"/>
  <c r="E80" i="8"/>
  <c r="F79" i="8"/>
  <c r="G78" i="8"/>
  <c r="J78" i="8"/>
  <c r="F58" i="8"/>
  <c r="D59" i="8"/>
  <c r="E59" i="8"/>
  <c r="J57" i="8"/>
  <c r="G57" i="8"/>
  <c r="B44" i="4"/>
  <c r="B45" i="4"/>
  <c r="I14" i="6"/>
  <c r="K11" i="6"/>
  <c r="F7" i="29"/>
  <c r="F8" i="29"/>
  <c r="F34" i="29"/>
  <c r="B28" i="4"/>
  <c r="B39" i="4"/>
  <c r="B41" i="4"/>
  <c r="B32" i="4"/>
  <c r="B33" i="4"/>
  <c r="D8" i="29"/>
  <c r="D34" i="29"/>
  <c r="D7" i="29"/>
  <c r="E7" i="29"/>
  <c r="E8" i="29"/>
  <c r="E34" i="29"/>
  <c r="G58" i="8"/>
  <c r="J58" i="8"/>
  <c r="K78" i="8"/>
  <c r="L78" i="8"/>
  <c r="L57" i="8"/>
  <c r="K57" i="8"/>
  <c r="N57" i="8"/>
  <c r="F59" i="8"/>
  <c r="D60" i="8"/>
  <c r="E60" i="8"/>
  <c r="J79" i="8"/>
  <c r="G79" i="8"/>
  <c r="D81" i="8"/>
  <c r="E81" i="8"/>
  <c r="F80" i="8"/>
  <c r="B34" i="4"/>
  <c r="B37" i="4"/>
  <c r="I11" i="6"/>
  <c r="F12" i="29"/>
  <c r="B36" i="11"/>
  <c r="O13" i="6"/>
  <c r="F10" i="29"/>
  <c r="F11" i="29"/>
  <c r="B35" i="11"/>
  <c r="O12" i="6"/>
  <c r="F33" i="29"/>
  <c r="F39" i="29"/>
  <c r="P11" i="6"/>
  <c r="B40" i="4"/>
  <c r="D33" i="29"/>
  <c r="D39" i="29"/>
  <c r="L11" i="6"/>
  <c r="D10" i="29"/>
  <c r="D11" i="29"/>
  <c r="B35" i="7"/>
  <c r="K12" i="6"/>
  <c r="D12" i="29"/>
  <c r="B36" i="7"/>
  <c r="K13" i="6"/>
  <c r="E10" i="29"/>
  <c r="E11" i="29"/>
  <c r="B35" i="10"/>
  <c r="M12" i="6"/>
  <c r="E33" i="29"/>
  <c r="E39" i="29"/>
  <c r="N11" i="6"/>
  <c r="E12" i="29"/>
  <c r="B36" i="10"/>
  <c r="M13" i="6"/>
  <c r="L79" i="8"/>
  <c r="K79" i="8"/>
  <c r="J80" i="8"/>
  <c r="G80" i="8"/>
  <c r="F60" i="8"/>
  <c r="D61" i="8"/>
  <c r="E61" i="8"/>
  <c r="F61" i="8"/>
  <c r="D82" i="8"/>
  <c r="E82" i="8"/>
  <c r="F81" i="8"/>
  <c r="J59" i="8"/>
  <c r="G59" i="8"/>
  <c r="L58" i="8"/>
  <c r="K58" i="8"/>
  <c r="C13" i="29"/>
  <c r="C8" i="29"/>
  <c r="C34" i="29"/>
  <c r="C7" i="29"/>
  <c r="N58" i="8"/>
  <c r="F82" i="8"/>
  <c r="D83" i="8"/>
  <c r="E83" i="8"/>
  <c r="L59" i="8"/>
  <c r="K59" i="8"/>
  <c r="N59" i="8"/>
  <c r="J60" i="8"/>
  <c r="G60" i="8"/>
  <c r="J81" i="8"/>
  <c r="G81" i="8"/>
  <c r="L80" i="8"/>
  <c r="K80" i="8"/>
  <c r="J61" i="8"/>
  <c r="G61" i="8"/>
  <c r="G62" i="8"/>
  <c r="C12" i="29"/>
  <c r="B36" i="4"/>
  <c r="I13" i="6"/>
  <c r="C33" i="29"/>
  <c r="C39" i="29"/>
  <c r="J11" i="6"/>
  <c r="C10" i="29"/>
  <c r="C11" i="29"/>
  <c r="B35" i="4"/>
  <c r="I12" i="6"/>
  <c r="B65" i="8"/>
  <c r="E13" i="8"/>
  <c r="E23" i="8"/>
  <c r="B67" i="8"/>
  <c r="L81" i="8"/>
  <c r="K81" i="8"/>
  <c r="L60" i="8"/>
  <c r="K60" i="8"/>
  <c r="N60" i="8"/>
  <c r="J82" i="8"/>
  <c r="G82" i="8"/>
  <c r="L61" i="8"/>
  <c r="L62" i="8"/>
  <c r="E25" i="8"/>
  <c r="K61" i="8"/>
  <c r="D96" i="8"/>
  <c r="E96" i="8"/>
  <c r="F83" i="8"/>
  <c r="N61" i="8"/>
  <c r="K62" i="8"/>
  <c r="E26" i="8"/>
  <c r="F96" i="8"/>
  <c r="D97" i="8"/>
  <c r="E97" i="8"/>
  <c r="L82" i="8"/>
  <c r="K82" i="8"/>
  <c r="G83" i="8"/>
  <c r="G84" i="8"/>
  <c r="J83" i="8"/>
  <c r="F23" i="8"/>
  <c r="B87" i="8"/>
  <c r="F13" i="8"/>
  <c r="B89" i="8"/>
  <c r="B68" i="8"/>
  <c r="E17" i="8"/>
  <c r="E27" i="8"/>
  <c r="B69" i="8"/>
  <c r="L83" i="8"/>
  <c r="L84" i="8"/>
  <c r="F25" i="8"/>
  <c r="K83" i="8"/>
  <c r="K84" i="8"/>
  <c r="F97" i="8"/>
  <c r="D98" i="8"/>
  <c r="E98" i="8"/>
  <c r="J96" i="8"/>
  <c r="G96" i="8"/>
  <c r="F26" i="8"/>
  <c r="B26" i="8"/>
  <c r="F27" i="8"/>
  <c r="B90" i="8"/>
  <c r="F17" i="8"/>
  <c r="B91" i="8"/>
  <c r="F98" i="8"/>
  <c r="D99" i="8"/>
  <c r="E99" i="8"/>
  <c r="J97" i="8"/>
  <c r="G97" i="8"/>
  <c r="L96" i="8"/>
  <c r="K96" i="8"/>
  <c r="L97" i="8"/>
  <c r="K97" i="8"/>
  <c r="D100" i="8"/>
  <c r="E100" i="8"/>
  <c r="F99" i="8"/>
  <c r="J98" i="8"/>
  <c r="G98" i="8"/>
  <c r="J99" i="8"/>
  <c r="G99" i="8"/>
  <c r="D101" i="8"/>
  <c r="E101" i="8"/>
  <c r="F100" i="8"/>
  <c r="K98" i="8"/>
  <c r="L98" i="8"/>
  <c r="G100" i="8"/>
  <c r="J100" i="8"/>
  <c r="D102" i="8"/>
  <c r="E102" i="8"/>
  <c r="F101" i="8"/>
  <c r="L99" i="8"/>
  <c r="K99" i="8"/>
  <c r="J101" i="8"/>
  <c r="G101" i="8"/>
  <c r="L100" i="8"/>
  <c r="K100" i="8"/>
  <c r="F102" i="8"/>
  <c r="D103" i="8"/>
  <c r="E103" i="8"/>
  <c r="F103" i="8"/>
  <c r="D104" i="8"/>
  <c r="E104" i="8"/>
  <c r="J102" i="8"/>
  <c r="G102" i="8"/>
  <c r="L101" i="8"/>
  <c r="K101" i="8"/>
  <c r="L102" i="8"/>
  <c r="K102" i="8"/>
  <c r="F104" i="8"/>
  <c r="D105" i="8"/>
  <c r="E105" i="8"/>
  <c r="J103" i="8"/>
  <c r="G103" i="8"/>
  <c r="F105" i="8"/>
  <c r="D119" i="8"/>
  <c r="E119" i="8"/>
  <c r="J104" i="8"/>
  <c r="G104" i="8"/>
  <c r="L103" i="8"/>
  <c r="K103" i="8"/>
  <c r="L104" i="8"/>
  <c r="K104" i="8"/>
  <c r="F119" i="8"/>
  <c r="D120" i="8"/>
  <c r="E120" i="8"/>
  <c r="J105" i="8"/>
  <c r="G105" i="8"/>
  <c r="G106" i="8"/>
  <c r="G23" i="8"/>
  <c r="B111" i="8"/>
  <c r="B109" i="8"/>
  <c r="G13" i="8"/>
  <c r="F120" i="8"/>
  <c r="D121" i="8"/>
  <c r="E121" i="8"/>
  <c r="J119" i="8"/>
  <c r="G119" i="8"/>
  <c r="L105" i="8"/>
  <c r="L106" i="8"/>
  <c r="G25" i="8"/>
  <c r="K105" i="8"/>
  <c r="K106" i="8"/>
  <c r="G27" i="8"/>
  <c r="B112" i="8"/>
  <c r="G17" i="8"/>
  <c r="B113" i="8"/>
  <c r="L119" i="8"/>
  <c r="K119" i="8"/>
  <c r="F121" i="8"/>
  <c r="D122" i="8"/>
  <c r="E122" i="8"/>
  <c r="J120" i="8"/>
  <c r="G120" i="8"/>
  <c r="L120" i="8"/>
  <c r="K120" i="8"/>
  <c r="F122" i="8"/>
  <c r="D123" i="8"/>
  <c r="E123" i="8"/>
  <c r="J121" i="8"/>
  <c r="G121" i="8"/>
  <c r="D124" i="8"/>
  <c r="E124" i="8"/>
  <c r="F123" i="8"/>
  <c r="J122" i="8"/>
  <c r="G122" i="8"/>
  <c r="L121" i="8"/>
  <c r="K121" i="8"/>
  <c r="L122" i="8"/>
  <c r="K122" i="8"/>
  <c r="J123" i="8"/>
  <c r="G123" i="8"/>
  <c r="F124" i="8"/>
  <c r="D125" i="8"/>
  <c r="E125" i="8"/>
  <c r="J124" i="8"/>
  <c r="G124" i="8"/>
  <c r="F125" i="8"/>
  <c r="D126" i="8"/>
  <c r="E126" i="8"/>
  <c r="L123" i="8"/>
  <c r="K123" i="8"/>
  <c r="J125" i="8"/>
  <c r="G125" i="8"/>
  <c r="L124" i="8"/>
  <c r="K124" i="8"/>
  <c r="D127" i="8"/>
  <c r="E127" i="8"/>
  <c r="F126" i="8"/>
  <c r="J126" i="8"/>
  <c r="G126" i="8"/>
  <c r="F127" i="8"/>
  <c r="D128" i="8"/>
  <c r="E128" i="8"/>
  <c r="F128" i="8"/>
  <c r="L125" i="8"/>
  <c r="K125" i="8"/>
  <c r="J128" i="8"/>
  <c r="G128" i="8"/>
  <c r="J127" i="8"/>
  <c r="G127" i="8"/>
  <c r="L126" i="8"/>
  <c r="K126" i="8"/>
  <c r="G129" i="8"/>
  <c r="H23" i="8"/>
  <c r="L128" i="8"/>
  <c r="K128" i="8"/>
  <c r="L127" i="8"/>
  <c r="K127" i="8"/>
  <c r="B134" i="8"/>
  <c r="B132" i="8"/>
  <c r="H13" i="8"/>
  <c r="J12" i="8"/>
  <c r="L129" i="8"/>
  <c r="H25" i="8"/>
  <c r="K129" i="8"/>
  <c r="B23" i="8"/>
  <c r="H10" i="6"/>
  <c r="G10" i="6"/>
  <c r="B28" i="8"/>
  <c r="B39" i="8"/>
  <c r="B40" i="8"/>
  <c r="B136" i="8"/>
  <c r="H27" i="8"/>
  <c r="B27" i="8"/>
  <c r="B135" i="8"/>
  <c r="H17" i="8"/>
  <c r="B25" i="8"/>
  <c r="F9" i="32"/>
  <c r="F6" i="32"/>
  <c r="B41" i="8"/>
  <c r="B42" i="8"/>
  <c r="B43" i="8"/>
  <c r="B17" i="8"/>
  <c r="B44" i="8"/>
  <c r="B32" i="8"/>
  <c r="B33" i="8"/>
  <c r="B34" i="8"/>
  <c r="B37" i="8"/>
  <c r="B45" i="8"/>
  <c r="G14" i="6"/>
  <c r="G11" i="6"/>
  <c r="B13" i="29"/>
  <c r="B8" i="29"/>
  <c r="B34" i="29"/>
  <c r="B7" i="29"/>
  <c r="B12" i="29"/>
  <c r="B36" i="8"/>
  <c r="G13" i="6"/>
  <c r="B33" i="29"/>
  <c r="B39" i="29"/>
  <c r="H11" i="6"/>
  <c r="B10" i="29"/>
  <c r="B11" i="29"/>
  <c r="F32" i="29"/>
  <c r="B32" i="29"/>
  <c r="B35" i="8"/>
  <c r="G12" i="6"/>
  <c r="D32" i="29"/>
  <c r="C32" i="29"/>
  <c r="E32" i="29"/>
  <c r="D40" i="29"/>
  <c r="D41" i="29"/>
  <c r="L14" i="6"/>
  <c r="D36" i="29"/>
  <c r="C40" i="29"/>
  <c r="C41" i="29"/>
  <c r="J14" i="6"/>
  <c r="C36" i="29"/>
  <c r="E40" i="29"/>
  <c r="E41" i="29"/>
  <c r="N14" i="6"/>
  <c r="E36" i="29"/>
  <c r="B36" i="29"/>
  <c r="B40" i="29"/>
  <c r="B41" i="29"/>
  <c r="H14" i="6"/>
  <c r="F40" i="29"/>
  <c r="F41" i="29"/>
  <c r="P14" i="6"/>
  <c r="F36" i="29"/>
  <c r="C37" i="29"/>
  <c r="J12" i="6"/>
  <c r="C38" i="29"/>
  <c r="J13" i="6"/>
  <c r="B38" i="29"/>
  <c r="H13" i="6"/>
  <c r="B37" i="29"/>
  <c r="H12" i="6"/>
  <c r="F37" i="29"/>
  <c r="P12" i="6"/>
  <c r="F38" i="29"/>
  <c r="P13" i="6"/>
  <c r="E38" i="29"/>
  <c r="N13" i="6"/>
  <c r="E37" i="29"/>
  <c r="N12" i="6"/>
  <c r="D38" i="29"/>
  <c r="L13" i="6"/>
  <c r="D37" i="29"/>
  <c r="L12" i="6"/>
</calcChain>
</file>

<file path=xl/sharedStrings.xml><?xml version="1.0" encoding="utf-8"?>
<sst xmlns="http://schemas.openxmlformats.org/spreadsheetml/2006/main" count="1276" uniqueCount="354">
  <si>
    <t>Cuadro 10.1</t>
  </si>
  <si>
    <t xml:space="preserve">Estimaciones puntuales  </t>
  </si>
  <si>
    <t>Trimestre:  Enero-Marzo  2014</t>
  </si>
  <si>
    <t>Sexo y sector de actividad económica</t>
  </si>
  <si>
    <t>Población ocupada</t>
  </si>
  <si>
    <t>Nivel de Ingresos</t>
  </si>
  <si>
    <t>Hasta un salario mínimo</t>
  </si>
  <si>
    <t>Más de 1 hasta 2 salarios mínimos</t>
  </si>
  <si>
    <t>Más de 2 hasta 3 salarios mínimos</t>
  </si>
  <si>
    <t>Más de 3 hasta 5 salarios mínimos</t>
  </si>
  <si>
    <t>Más de 5 salarios mínimos</t>
  </si>
  <si>
    <r>
      <t>No recibe ingresos</t>
    </r>
    <r>
      <rPr>
        <b/>
        <vertAlign val="superscript"/>
        <sz val="8"/>
        <rFont val="Arial"/>
        <family val="2"/>
      </rPr>
      <t>2</t>
    </r>
  </si>
  <si>
    <t>No
 especi-ficado</t>
  </si>
  <si>
    <t>Nacional</t>
  </si>
  <si>
    <t>Agropecuario</t>
  </si>
  <si>
    <t>Construcción</t>
  </si>
  <si>
    <t>Industria manufacturera</t>
  </si>
  <si>
    <t>Comercio</t>
  </si>
  <si>
    <t>Servicios</t>
  </si>
  <si>
    <t>Otros</t>
  </si>
  <si>
    <r>
      <t>No especificado</t>
    </r>
    <r>
      <rPr>
        <vertAlign val="superscript"/>
        <sz val="8"/>
        <rFont val="Arial"/>
        <family val="2"/>
      </rPr>
      <t>3</t>
    </r>
  </si>
  <si>
    <t>Proyecciones en las remuneraciones ante cambios en el S.M.N</t>
  </si>
  <si>
    <t>Salario mínimo actual</t>
  </si>
  <si>
    <t>Trabajadores</t>
  </si>
  <si>
    <t>Beneficiados</t>
  </si>
  <si>
    <t>Igual</t>
  </si>
  <si>
    <t>Mas de 1 Salario y menos de 2</t>
  </si>
  <si>
    <t>Deciles</t>
  </si>
  <si>
    <t>Concentración relativa</t>
  </si>
  <si>
    <t>Grado de concentración</t>
  </si>
  <si>
    <t>Personas en el rango</t>
  </si>
  <si>
    <t>Personas en el decil</t>
  </si>
  <si>
    <t>Salario máximo en el decil</t>
  </si>
  <si>
    <t>Personas por debajo del decil</t>
  </si>
  <si>
    <t>Ingresos por decil</t>
  </si>
  <si>
    <t>Salario medio del decil</t>
  </si>
  <si>
    <t>Salario mínimo en el decil</t>
  </si>
  <si>
    <t>Salario medio</t>
  </si>
  <si>
    <t>Mas de 2 Salario y menos de 3</t>
  </si>
  <si>
    <t>Mas de 3 Salario y menos de 5</t>
  </si>
  <si>
    <t>Nuevo salario medio</t>
  </si>
  <si>
    <t>Nuevos Ingresos</t>
  </si>
  <si>
    <t>Incremento Porcentual</t>
  </si>
  <si>
    <t>Diferencia en salarios en el rango</t>
  </si>
  <si>
    <t>Salario anual</t>
  </si>
  <si>
    <t>Personas beneficiadas</t>
  </si>
  <si>
    <t>Mas de 5 Salarios</t>
  </si>
  <si>
    <t>Agricultura, ganadería, aprovechamiento forestal, pesca y caza</t>
  </si>
  <si>
    <t>Minería</t>
  </si>
  <si>
    <t>Industrias manufactureras</t>
  </si>
  <si>
    <t>Información en medios masivos</t>
  </si>
  <si>
    <t>Servicios financieros y de seguros</t>
  </si>
  <si>
    <t>Servicios inmobiliarios y de alquiler de bienes muebles e intangibles</t>
  </si>
  <si>
    <t>Servicios profesionales, científicos y técnicos</t>
  </si>
  <si>
    <t>Servicios de apoyo a los negocios y manejo de desechos y servicios de remediación</t>
  </si>
  <si>
    <t>Servicios educativos</t>
  </si>
  <si>
    <t>Servicios de salud y de asistencia social</t>
  </si>
  <si>
    <t>Servicios de esparcimiento culturales y deportivos, y otros servicios recreativos</t>
  </si>
  <si>
    <t>Servicios de alojamiento temporal y de preparación de alimentos y bebidas</t>
  </si>
  <si>
    <t>31-33</t>
  </si>
  <si>
    <t>43-46</t>
  </si>
  <si>
    <t>Excedente Bruto de Operación</t>
  </si>
  <si>
    <t>PRODUCCIÓN TOTAL POR ACTIVIDAD A PRECIOS BÁSICOS</t>
  </si>
  <si>
    <t>Valores a precios del 2014</t>
  </si>
  <si>
    <t>Total de Remuneración de asalariados</t>
  </si>
  <si>
    <t>Miles de pesos del 2014</t>
  </si>
  <si>
    <t>(población ocupada por nivel de ingresos)</t>
  </si>
  <si>
    <t>Propuesta de salario mínimo</t>
  </si>
  <si>
    <t>Si desea un análisis a mayor detalle, de click en el sector de su interés</t>
  </si>
  <si>
    <t>Incidencia en el precio al consumidor final</t>
  </si>
  <si>
    <t>Sector de actividad económica</t>
  </si>
  <si>
    <t>Salario promedio ponderado</t>
  </si>
  <si>
    <t>48-49</t>
  </si>
  <si>
    <t>Otros servicios excepto actividades gubernamentales</t>
  </si>
  <si>
    <t>Actividades legislativas, gubernamentales, de impartición de justicia y de organismos internacionales y extraterritoriales</t>
  </si>
  <si>
    <t>Hombres</t>
  </si>
  <si>
    <t>Mujeres</t>
  </si>
  <si>
    <t>Los datos absolutos de las encuestas en hogares se ajustan siempre a proyecciones demográficas, no sólo con la finalidad de tener un referente poblacional en periodos intercensales, sino también para eliminar las fluctuaciones en los datos estimados que son inherentes a los esquemas de muestreo probabilístico propios de estas encuestas, lo que facilita las comparaciones en el tiempo. Las proyecciones se actualizan cada vez que se tienen nuevos datos de población; en este contexto, el Censo de Población y Vivienda de 2010, al proporcionar información sobre la magnitud y la distribución de la población en el país, obliga a llevar a cabo una conciliación demográfica, que permite a su vez, elaborar las proyecciones de población oficiales para el país, con las que es posible expandir los datos que provienen de las encuestas en hogares. Por lo anterior, los datos de la ENOE que ahora se presentan a escala nacional y para cuatro tamaños de localidad, por entidad federativa y por ciudad autorrepresentada, corresponden a una estimación de población realizada por el INEGI, a partir de las proyecciones demográficas del CONAPO actualizadas en abril de 2013.</t>
  </si>
  <si>
    <t>Incluye a la población ocupada no remunerada, como también a los que reciben únicamente ingreso no monetario (autoconsumo).</t>
  </si>
  <si>
    <t>Comprende a los ocupados en unidades económicas cuya territorialidad no forma parte del país en un sentido jurídico; tal es el caso de los trabajadores transfronterizos residentes en México, así como del personal que labora en embajadas y consulados. Por otra parte, también se incluyen aquellos casos en los que no se pudo definir su ubicación en términos de la naturaleza que guarda la unidad económica.</t>
  </si>
  <si>
    <t xml:space="preserve">Las estimaciones puntuales que aparecen en este cuadro, están coloreadas con el propósito de dar una idea de su precisión. </t>
  </si>
  <si>
    <t>Estimaciones distintas a cero y a No especificado, que tienen coeficiente de variación (%) en el rango de (0, 15)</t>
  </si>
  <si>
    <t>Estimaciones distintas a cero y a No especificado, que tienen coeficiente de variación (%) en el rango de [15, 25)</t>
  </si>
  <si>
    <t>Estimaciones distintas a cero y a No especificado, que tienen coeficiente de variación (%) en el rango de [25 y +]</t>
  </si>
  <si>
    <t xml:space="preserve">Unidades </t>
  </si>
  <si>
    <t xml:space="preserve">Pesos </t>
  </si>
  <si>
    <t xml:space="preserve">Personas </t>
  </si>
  <si>
    <t xml:space="preserve">Millones de Pesos </t>
  </si>
  <si>
    <t>Total</t>
  </si>
  <si>
    <t xml:space="preserve">Servicios </t>
  </si>
  <si>
    <t xml:space="preserve">Miles de Pesos </t>
  </si>
  <si>
    <t xml:space="preserve">Indicadores </t>
  </si>
  <si>
    <t xml:space="preserve">Concepto </t>
  </si>
  <si>
    <t xml:space="preserve">Valor </t>
  </si>
  <si>
    <t xml:space="preserve">Unidad </t>
  </si>
  <si>
    <t xml:space="preserve">Miles de pesos </t>
  </si>
  <si>
    <t>Fuente: INEGI. SCNM. Cuadros de Oferta y Utilización 2008</t>
  </si>
  <si>
    <t xml:space="preserve">UTILIZACIÓN DE BIENES Y SERVICIOS POR SECTOR DE ACTIVIDAD, </t>
  </si>
  <si>
    <t>CUADRO 2.1</t>
  </si>
  <si>
    <t>EN MILLONES DE PESOS A PRECIOS DEL AÑO 2008.</t>
  </si>
  <si>
    <t>ECONOMÍA TOTAL</t>
  </si>
  <si>
    <t>NO.</t>
  </si>
  <si>
    <t>CÓDIGO CLASE SCIAN</t>
  </si>
  <si>
    <t>DEMANDA INTERMEDIA</t>
  </si>
  <si>
    <t>DEMANDA FINAL</t>
  </si>
  <si>
    <t>UTILIZACIÓN TOTAL 
A PRECIOS COMPRADOR</t>
  </si>
  <si>
    <t>TOTAL DEMANDA INTERMEDIA</t>
  </si>
  <si>
    <t>Agricultura, cría y explotación de animales, aprovechamiento forestal, pesca y caza</t>
  </si>
  <si>
    <t>Generación, transmisión y distribución de energía eléctrica, suministro de agua y de gas por ductos al consumidor final</t>
  </si>
  <si>
    <t>Industrias Manufactureras</t>
  </si>
  <si>
    <t xml:space="preserve">Comercio </t>
  </si>
  <si>
    <t>Transportes, correos y almacenamiento</t>
  </si>
  <si>
    <t>Corporativos</t>
  </si>
  <si>
    <t>TOTAL</t>
  </si>
  <si>
    <t>CONSUMO PRIVADO</t>
  </si>
  <si>
    <t>CONSUMO DE GOBIERNO</t>
  </si>
  <si>
    <t>FORMACIÓN BRUTA DE CAPITAL FIJO</t>
  </si>
  <si>
    <t>VARIACIÓN DE EXISTENCIAS</t>
  </si>
  <si>
    <t>EXPORTACIONES
F. O. B.</t>
  </si>
  <si>
    <t>DISCREPANCIA ESTADISTICA</t>
  </si>
  <si>
    <t>TOTAL DE USOS A PRECIOS DE COMPRADOR</t>
  </si>
  <si>
    <t>COMPRAS DE RESIDENTES EN EL EXTRANJERO</t>
  </si>
  <si>
    <t>COMPRAS DE NO RESIDENTES EN EL PAÍS</t>
  </si>
  <si>
    <t>COMPRAS NETAS DE RESIDENTES Y NO RESIDENTES</t>
  </si>
  <si>
    <t>VALOR AGREGADO BRUTO A PRECIOS BÁSICOS</t>
  </si>
  <si>
    <t>Sueldos y salarios que incluyen contribuciones sociales efectivas a la seguridad social</t>
  </si>
  <si>
    <t xml:space="preserve">Salarios </t>
  </si>
  <si>
    <t>Sueldos</t>
  </si>
  <si>
    <t>Contribuciones Sociales Efectivas a la Seguridad Social</t>
  </si>
  <si>
    <t>Otras Prestaciones Sociales</t>
  </si>
  <si>
    <t>Impuestos Netos de Subsidios Sobre la Producción</t>
  </si>
  <si>
    <t>Impuestos que gravan la actividad</t>
  </si>
  <si>
    <t>Menos: subsidios</t>
  </si>
  <si>
    <t>TOTAL DE OTRAS COLUMNAS</t>
  </si>
  <si>
    <t>PUESTOS DE TRABAJO.</t>
  </si>
  <si>
    <t>Total de puestos de trabajo</t>
  </si>
  <si>
    <t>Puestos de trabajo dependientes de la razón social</t>
  </si>
  <si>
    <t>Puestos de trabajo remunerados</t>
  </si>
  <si>
    <t>Obreros y técnicos</t>
  </si>
  <si>
    <t>Empleados</t>
  </si>
  <si>
    <t>Propietarios, familiares y otros trabajadores no remunerados</t>
  </si>
  <si>
    <t>Personal no dependiente de la razón social</t>
  </si>
  <si>
    <t>Personal suministrado por otra razón social</t>
  </si>
  <si>
    <t>Personal por honorarios o comisiones s/sueldo</t>
  </si>
  <si>
    <t>Millones de pesos del 2008</t>
  </si>
  <si>
    <t>Fuente: INEGI.</t>
  </si>
  <si>
    <t xml:space="preserve">Fuente: INEGI. SCNM. Cuadros de Oferta y Utilización 2008, Elaborado por Gnóstica </t>
  </si>
  <si>
    <t xml:space="preserve">Sueldos y Salarios </t>
  </si>
  <si>
    <t xml:space="preserve">salario promedio </t>
  </si>
  <si>
    <t xml:space="preserve">Total Sueldos y Salarios COU </t>
  </si>
  <si>
    <t xml:space="preserve">Sueldos y salarios </t>
  </si>
  <si>
    <t xml:space="preserve">Nueva producción total por actividad a precios básicos </t>
  </si>
  <si>
    <t xml:space="preserve">Nuevos sueldos y salarios </t>
  </si>
  <si>
    <t xml:space="preserve">Porcentaje del sector </t>
  </si>
  <si>
    <t xml:space="preserve">Impacto en sueldos y salarios </t>
  </si>
  <si>
    <t xml:space="preserve">Total de usos a precios de comprador </t>
  </si>
  <si>
    <t>Contribuciones sociales e impuestos</t>
  </si>
  <si>
    <t xml:space="preserve">Diferencia en sueldos y salarios  </t>
  </si>
  <si>
    <t xml:space="preserve">Porcentaje de diferencia en sueldos y salarios </t>
  </si>
  <si>
    <t xml:space="preserve">Calculo de decicles por nivel de ingreso </t>
  </si>
  <si>
    <t>Población ocupada sector comercio</t>
  </si>
  <si>
    <t>Concepto</t>
  </si>
  <si>
    <t>Valor</t>
  </si>
  <si>
    <t xml:space="preserve">25 Salarios Minimos </t>
  </si>
  <si>
    <t xml:space="preserve">Salario promedio </t>
  </si>
  <si>
    <t xml:space="preserve">Salario promedio ponderado </t>
  </si>
  <si>
    <t xml:space="preserve">Nuevo Salario Minimo </t>
  </si>
  <si>
    <t xml:space="preserve">Nuevo salario promedio ponderado </t>
  </si>
  <si>
    <t xml:space="preserve">Límite superior del rango </t>
  </si>
  <si>
    <t xml:space="preserve">Incremento proporcional del salario mínimo </t>
  </si>
  <si>
    <t xml:space="preserve">Nuevo límite superior del rango </t>
  </si>
  <si>
    <t>Población ocupada sector manufacturero</t>
  </si>
  <si>
    <t>Población ocupada sector servicio</t>
  </si>
  <si>
    <t>Población ocupada sector agropecuario</t>
  </si>
  <si>
    <t>Valores a precio del 2014</t>
  </si>
  <si>
    <t xml:space="preserve">Sector </t>
  </si>
  <si>
    <r>
      <t xml:space="preserve">1 </t>
    </r>
    <r>
      <rPr>
        <sz val="9"/>
        <color indexed="8"/>
        <rFont val="Calibri"/>
        <family val="2"/>
      </rPr>
      <t>Calculado de enero del 2008 a julio del 2014 utilizando calculadora de Inflación ; publicada por INEGI</t>
    </r>
  </si>
  <si>
    <t>48-49,51-56,61-62,71-72,81-93</t>
  </si>
  <si>
    <t>*Sistema de Clasificación Industrial de América del Norte</t>
  </si>
  <si>
    <t>Código clase SCIAN*</t>
  </si>
  <si>
    <t xml:space="preserve">Producción total por atcividad a precio básicos </t>
  </si>
  <si>
    <t xml:space="preserve">Efecto piramidado </t>
  </si>
  <si>
    <t>Ind. Manufacturera</t>
  </si>
  <si>
    <t xml:space="preserve">Tabla 3.Indicadores </t>
  </si>
  <si>
    <t xml:space="preserve">Tabla 2.Población Ocupada </t>
  </si>
  <si>
    <t xml:space="preserve">Tabla 1.Nuevo Salario Mínimo </t>
  </si>
  <si>
    <t xml:space="preserve">Tabla 5.Calculo de nuevos ingresos y personas beneficiadas </t>
  </si>
  <si>
    <t xml:space="preserve">Tabla 4.Cálculo de deciles por nivel de ingreso </t>
  </si>
  <si>
    <t xml:space="preserve">Nuevo salario  promedio ponderado </t>
  </si>
  <si>
    <t>*</t>
  </si>
  <si>
    <t>Millones de pesos del 2014</t>
  </si>
  <si>
    <t xml:space="preserve">Producción total por actividad a precio básicos </t>
  </si>
  <si>
    <t>Sector</t>
  </si>
  <si>
    <t>Descripción</t>
  </si>
  <si>
    <t>2008</t>
  </si>
  <si>
    <t>2013P</t>
  </si>
  <si>
    <t>2013/2008</t>
  </si>
  <si>
    <t>11</t>
  </si>
  <si>
    <t xml:space="preserve">            Agricultura, cría y explotación de animales, aprovechamiento forestal, pesca y caza</t>
  </si>
  <si>
    <t>23</t>
  </si>
  <si>
    <t xml:space="preserve">            Construcción</t>
  </si>
  <si>
    <t xml:space="preserve">            Industrias manufactureras</t>
  </si>
  <si>
    <t xml:space="preserve">            Comercio</t>
  </si>
  <si>
    <t xml:space="preserve">            Transportes, correos y almacenamiento</t>
  </si>
  <si>
    <t>51</t>
  </si>
  <si>
    <t xml:space="preserve">            Información en medios masivos</t>
  </si>
  <si>
    <t>52</t>
  </si>
  <si>
    <t xml:space="preserve">            Servicios financieros y de seguros</t>
  </si>
  <si>
    <t>53</t>
  </si>
  <si>
    <t xml:space="preserve">            Servicios inmobiliarios y de alquiler de bienes muebles e intangibles</t>
  </si>
  <si>
    <t>54</t>
  </si>
  <si>
    <t xml:space="preserve">            Servicios profesionales, científicos y técnicos</t>
  </si>
  <si>
    <t>55</t>
  </si>
  <si>
    <t xml:space="preserve">            Corporativos</t>
  </si>
  <si>
    <t>56</t>
  </si>
  <si>
    <t xml:space="preserve">            Servicios de apoyo a los negocios y manejo de desechos y servicios de remediación</t>
  </si>
  <si>
    <t>61</t>
  </si>
  <si>
    <t xml:space="preserve">            Servicios educativos</t>
  </si>
  <si>
    <t>62</t>
  </si>
  <si>
    <t xml:space="preserve">            Servicios de salud y de asistencia social</t>
  </si>
  <si>
    <t>71</t>
  </si>
  <si>
    <t xml:space="preserve">            Servicios de esparcimiento culturales y deportivos, y otros servicios recreativos</t>
  </si>
  <si>
    <t>72</t>
  </si>
  <si>
    <t xml:space="preserve">            Servicios de alojamiento temporal y de preparación de alimentos y bebidas</t>
  </si>
  <si>
    <t>81</t>
  </si>
  <si>
    <t xml:space="preserve">            Otros servicios excepto actividades gubernamentales</t>
  </si>
  <si>
    <t>93</t>
  </si>
  <si>
    <t xml:space="preserve">            Actividades legislativas, gubernamentales, de impartición de justicia y de organismos internacionales y extraterritoriales</t>
  </si>
  <si>
    <t>Fuente:INEGI. Sistema de Cuentas Nacionales de México. Cuentas de Bienes y Servicios, 2013 preliminar, base 2008</t>
  </si>
  <si>
    <t>PIB Agricultura, ganadería, aprovechamiento forestal, pesca y caza</t>
  </si>
  <si>
    <t>PIB Construcción</t>
  </si>
  <si>
    <t xml:space="preserve"> PIB Industrias manufactureras</t>
  </si>
  <si>
    <t xml:space="preserve"> PIB Comercio</t>
  </si>
  <si>
    <t xml:space="preserve">PIB Servicios </t>
  </si>
  <si>
    <t>Fuente:INEGI. Sistema de Cuentas Nacionales de México. Cuentas de Bienes y Servicios, 2013 preliminar, base 2008 (millones de pesos a precios correintes)</t>
  </si>
  <si>
    <t>Diferencia en sueldos y salarios</t>
  </si>
  <si>
    <t xml:space="preserve">Total Sueldos y Salarios COU Anuales </t>
  </si>
  <si>
    <t>Producto Interno Bruto , Millones de pesos a precios corrientes.</t>
  </si>
  <si>
    <t xml:space="preserve">Total Sueldos y Salarios COU 2014 </t>
  </si>
  <si>
    <r>
      <t>Sueldos y salarios COU</t>
    </r>
    <r>
      <rPr>
        <sz val="11"/>
        <color indexed="8"/>
        <rFont val="Calibri"/>
        <family val="2"/>
      </rPr>
      <t xml:space="preserve"> diario 2014 de referencia </t>
    </r>
  </si>
  <si>
    <t>Reducción en el margen de ganancias del productos</t>
  </si>
  <si>
    <t xml:space="preserve">Impacto económico del incremento en el salario mínimo por sector de actividad </t>
  </si>
  <si>
    <t xml:space="preserve">Efecto Piramidado </t>
  </si>
  <si>
    <t xml:space="preserve">Efecto Directo </t>
  </si>
  <si>
    <t>Número de trabajadores beneficiados</t>
  </si>
  <si>
    <t xml:space="preserve">Tasa promedio de ISR al empleado </t>
  </si>
  <si>
    <t xml:space="preserve">Pesos diarios </t>
  </si>
  <si>
    <t>Incidencia en el precio al consumidor final (%)</t>
  </si>
  <si>
    <t>Reducción en el margen de ganancias del productos (%)</t>
  </si>
  <si>
    <t>Impacto en sueldos y salarios (%)</t>
  </si>
  <si>
    <t>Nuevas contribuciones sociales e impuestos</t>
  </si>
  <si>
    <t>Diferencia en sueldos y salarios anuales</t>
  </si>
  <si>
    <t xml:space="preserve">Diferencia en sueldos y salarios diarios </t>
  </si>
  <si>
    <t xml:space="preserve">Diferencia en sueldos y salarios anuales con ISR </t>
  </si>
  <si>
    <t>Excedente bruto de operación</t>
  </si>
  <si>
    <t xml:space="preserve">Nuevo total de usos a precios de comprador </t>
  </si>
  <si>
    <t xml:space="preserve">impacto Directo </t>
  </si>
  <si>
    <t>Impacto piramidado</t>
  </si>
  <si>
    <t>Más de 5 hasta 25 salarios mínimos</t>
  </si>
  <si>
    <t xml:space="preserve">Incremento prorcentual del salario mínimo </t>
  </si>
  <si>
    <t xml:space="preserve">Incremento Porcentual sobre salario mínimo </t>
  </si>
  <si>
    <t>Nota:</t>
  </si>
  <si>
    <t>Se clasifican en este rubro tanto los trabajadores dependientes no remunerados como los trabajadores por cuenta propia dedicados a actividades de subsistencia.</t>
  </si>
  <si>
    <t>Se refiere a todas aquellas personas que en el desempeño de su actividad reconocen depender de un jefe o superior, pero sin recibir un salario como forma de pago, percibiendo otras modalidades tales como comisiones, honorarios, destajo, propinas, etcétera.</t>
  </si>
  <si>
    <t>Fuente: INEGI, Encuesta Nacional de Ocupación y Empleo.</t>
  </si>
  <si>
    <t xml:space="preserve">  Mediana</t>
  </si>
  <si>
    <t xml:space="preserve">  Promedio</t>
  </si>
  <si>
    <r>
      <t>Trabajadores subordinados y remunerados con percepciones no salariales</t>
    </r>
    <r>
      <rPr>
        <vertAlign val="superscript"/>
        <sz val="8"/>
        <rFont val="Arial"/>
        <family val="2"/>
      </rPr>
      <t>1</t>
    </r>
  </si>
  <si>
    <t>Trabajadores subordinados y remunerados asalariados</t>
  </si>
  <si>
    <t>Cuenta propia</t>
  </si>
  <si>
    <t>Empleadores</t>
  </si>
  <si>
    <t>Mediana</t>
  </si>
  <si>
    <t>Promedio</t>
  </si>
  <si>
    <t>Ingreso (pesos) por hora trabajada</t>
  </si>
  <si>
    <t>Horas trabajadas a la semana</t>
  </si>
  <si>
    <t>Años de escolaridad</t>
  </si>
  <si>
    <t>Edad</t>
  </si>
  <si>
    <t>Promedios y medianas</t>
  </si>
  <si>
    <t>2.</t>
  </si>
  <si>
    <t>No especificado</t>
  </si>
  <si>
    <t>Más de 48 horas</t>
  </si>
  <si>
    <t>De 35 a 48 horas</t>
  </si>
  <si>
    <t>De 15 a 34 horas</t>
  </si>
  <si>
    <t>Menos de 15 horas</t>
  </si>
  <si>
    <t>Ausentes temporales con vínculo laboral</t>
  </si>
  <si>
    <t>Duración de la jornada de trabajo</t>
  </si>
  <si>
    <r>
      <t>No recibe ingresos</t>
    </r>
    <r>
      <rPr>
        <vertAlign val="superscript"/>
        <sz val="8"/>
        <rFont val="Arial"/>
        <family val="2"/>
      </rPr>
      <t>2</t>
    </r>
  </si>
  <si>
    <t>Nivel de ingresos</t>
  </si>
  <si>
    <t>Gobierno y organismos internacionales</t>
  </si>
  <si>
    <t>Servicios diversos</t>
  </si>
  <si>
    <t>Servicios sociales</t>
  </si>
  <si>
    <t>Servicios profesionales, financieros y corporativos</t>
  </si>
  <si>
    <t>Transportes, comunicaciones, correo y almacenamiento</t>
  </si>
  <si>
    <t>Restaurantes y servicios de alojamiento</t>
  </si>
  <si>
    <t>Terciario</t>
  </si>
  <si>
    <t>Industria extractiva y de la electricidad</t>
  </si>
  <si>
    <t xml:space="preserve">Secundario </t>
  </si>
  <si>
    <t>Agricultura, ganadería, silvicultura, caza y pesca</t>
  </si>
  <si>
    <t>Primario</t>
  </si>
  <si>
    <t>Trabajadores no remunerados</t>
  </si>
  <si>
    <t>Trabajadores por cuenta propia</t>
  </si>
  <si>
    <r>
      <t>Con percepciones no salariales</t>
    </r>
    <r>
      <rPr>
        <vertAlign val="superscript"/>
        <sz val="8"/>
        <rFont val="Arial"/>
        <family val="2"/>
      </rPr>
      <t>1</t>
    </r>
  </si>
  <si>
    <t>Asalariados</t>
  </si>
  <si>
    <t>Trabajadores subordinados y remunerados</t>
  </si>
  <si>
    <t>Posición en la ocupación</t>
  </si>
  <si>
    <t>Medio superior y superior</t>
  </si>
  <si>
    <t>Secundaria completa</t>
  </si>
  <si>
    <t>Primaria completa</t>
  </si>
  <si>
    <t>Primaria incompleta</t>
  </si>
  <si>
    <t>Nivel de instrucción</t>
  </si>
  <si>
    <t>De 65 años y más</t>
  </si>
  <si>
    <t>De 45 a 64 años</t>
  </si>
  <si>
    <t>De 25 a 44 años</t>
  </si>
  <si>
    <t>De 14 a 24 años</t>
  </si>
  <si>
    <t>Grupos de edad</t>
  </si>
  <si>
    <t>Población ocupada por:</t>
  </si>
  <si>
    <t>Ámbito agropecuario</t>
  </si>
  <si>
    <t>Ámbito no agropecuario</t>
  </si>
  <si>
    <t>Subtotal</t>
  </si>
  <si>
    <t>Fuera del sector informal</t>
  </si>
  <si>
    <t>Sector informal</t>
  </si>
  <si>
    <t>Ocupación informal</t>
  </si>
  <si>
    <t>Ocupación formal</t>
  </si>
  <si>
    <t>Indicador</t>
  </si>
  <si>
    <t>Trimestre:  Enero-Abril  2014</t>
  </si>
  <si>
    <t>Indicadores estratégicos de informalidad laboral</t>
  </si>
  <si>
    <t>INEGI. Encuesta Nacional de Ocupación y Empleo. Informalidad laboral. Indicadores estratégicos. Primer trimestre de 2014.</t>
  </si>
  <si>
    <t xml:space="preserve">Formal </t>
  </si>
  <si>
    <t xml:space="preserve">Informal </t>
  </si>
  <si>
    <t xml:space="preserve">Población Ocupada </t>
  </si>
  <si>
    <t xml:space="preserve">Número de trabajadores beneficiados Formal </t>
  </si>
  <si>
    <t xml:space="preserve">Número de trabajadores beneficiados Total </t>
  </si>
  <si>
    <t>63.78-127.54</t>
  </si>
  <si>
    <t>127.55-191.31</t>
  </si>
  <si>
    <t>191.32-318.85</t>
  </si>
  <si>
    <t>318.86-1,594.25</t>
  </si>
  <si>
    <t>131.07-196.59</t>
  </si>
  <si>
    <t>65.54-131.06</t>
  </si>
  <si>
    <t>196.60-327.65</t>
  </si>
  <si>
    <t>327.66-1638.25</t>
  </si>
  <si>
    <t>67.30-134.58</t>
  </si>
  <si>
    <t>134.59-201.87</t>
  </si>
  <si>
    <t>201.88-336.45</t>
  </si>
  <si>
    <t>336.46-1682.25</t>
  </si>
  <si>
    <t>Millones de Pesos</t>
  </si>
  <si>
    <t>Sueldos y salarios actuales diarios (con el sueldo medio)</t>
  </si>
  <si>
    <t>Nuevos sueldos y salarios diarios</t>
  </si>
  <si>
    <t>Reducción de trabajadores con SMP</t>
  </si>
  <si>
    <t>Porcentaje de la población ocupada</t>
  </si>
  <si>
    <t>Reducción de trabajadores con SM</t>
  </si>
  <si>
    <t>Reducción en el número de trabajadores</t>
  </si>
  <si>
    <t>Número de trabajadores</t>
  </si>
  <si>
    <t xml:space="preserve">Ponga su propuesta de salario sobre el recuadro o deslice la barra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</si>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</sst>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General_)"/>
    <numFmt numFmtId="165" formatCode="0.0"/>
    <numFmt numFmtId="166" formatCode="_-* #,##0_-;\-* #,##0_-;_-* &quot;-&quot;??_-;_-@_-"/>
    <numFmt numFmtId="167" formatCode="#,##0.0000"/>
    <numFmt numFmtId="168" formatCode="#,##0.0"/>
    <numFmt numFmtId="169" formatCode="#,##0.000"/>
    <numFmt numFmtId="170" formatCode="#,##0.0000000"/>
    <numFmt numFmtId="171" formatCode="0.0000000"/>
    <numFmt numFmtId="172" formatCode="0.000"/>
    <numFmt numFmtId="173" formatCode="0.0%"/>
    <numFmt numFmtId="174" formatCode="0.0000%"/>
    <numFmt numFmtId="175" formatCode="_-* #,##0.0_-;\-* #,##0.0_-;_-* &quot;-&quot;?_-;_-@_-"/>
    <numFmt numFmtId="176" formatCode="_-* #,##0.000000_-;\-* #,##0.000000_-;_-* &quot;-&quot;??_-;_-@_-"/>
  </numFmts>
  <fonts count="69" x14ac:knownFonts="1">
    <font>
      <sz val="11"/>
      <color theme="1"/>
      <name val="Calibri"/>
      <family val="2"/>
      <scheme val="minor"/>
    </font>
    <font>
      <b/>
      <sz val="8"/>
      <name val="Arial"/>
      <family val="2"/>
    </font>
    <font>
      <sz val="10"/>
      <name val="Arial"/>
      <family val="2"/>
    </font>
    <font>
      <b/>
      <sz val="10"/>
      <name val="Arial"/>
      <family val="2"/>
    </font>
    <font>
      <sz val="8"/>
      <name val="Arial"/>
      <family val="2"/>
    </font>
    <font>
      <b/>
      <vertAlign val="superscript"/>
      <sz val="8"/>
      <name val="Arial"/>
      <family val="2"/>
    </font>
    <font>
      <vertAlign val="superscript"/>
      <sz val="8"/>
      <name val="Arial"/>
      <family val="2"/>
    </font>
    <font>
      <sz val="8"/>
      <name val="MS Sans Serif"/>
      <family val="2"/>
    </font>
    <font>
      <b/>
      <sz val="12"/>
      <name val="Arial"/>
      <family val="2"/>
    </font>
    <font>
      <b/>
      <sz val="11"/>
      <name val="Arial"/>
      <family val="2"/>
    </font>
    <font>
      <sz val="12"/>
      <name val="Arial"/>
      <family val="2"/>
    </font>
    <font>
      <sz val="7"/>
      <name val="Arial"/>
      <family val="2"/>
    </font>
    <font>
      <sz val="9"/>
      <color indexed="8"/>
      <name val="Calibri"/>
      <family val="2"/>
    </font>
    <font>
      <b/>
      <sz val="11"/>
      <name val="Calibri"/>
      <family val="2"/>
    </font>
    <font>
      <sz val="11"/>
      <color indexed="8"/>
      <name val="Calibri"/>
      <family val="2"/>
    </font>
    <font>
      <b/>
      <sz val="9"/>
      <name val="Arial"/>
      <family val="2"/>
    </font>
    <font>
      <sz val="9"/>
      <name val="Arial"/>
      <family val="2"/>
    </font>
    <font>
      <vertAlign val="superscript"/>
      <sz val="7"/>
      <name val="Arial"/>
      <family val="2"/>
    </font>
    <font>
      <sz val="10"/>
      <color indexed="18"/>
      <name val="Arial"/>
      <family val="2"/>
    </font>
    <font>
      <b/>
      <i/>
      <sz val="10"/>
      <name val="Arial"/>
      <family val="2"/>
    </font>
    <font>
      <i/>
      <sz val="10"/>
      <name val="Arial"/>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Helv"/>
    </font>
    <font>
      <sz val="11"/>
      <color rgb="FFFF0000"/>
      <name val="Calibri"/>
      <family val="2"/>
      <scheme val="minor"/>
    </font>
    <font>
      <b/>
      <sz val="11"/>
      <color theme="1"/>
      <name val="Calibri"/>
      <family val="2"/>
      <scheme val="minor"/>
    </font>
    <font>
      <sz val="10"/>
      <color theme="1"/>
      <name val="Arial"/>
      <family val="2"/>
    </font>
    <font>
      <sz val="8"/>
      <color rgb="FF000000"/>
      <name val="Arial"/>
      <family val="2"/>
    </font>
    <font>
      <sz val="11"/>
      <name val="Calibri"/>
      <family val="2"/>
      <scheme val="minor"/>
    </font>
    <font>
      <b/>
      <sz val="10"/>
      <name val="Calibri"/>
      <family val="2"/>
      <scheme val="minor"/>
    </font>
    <font>
      <sz val="10"/>
      <color theme="1"/>
      <name val="Calibri"/>
      <family val="2"/>
      <scheme val="minor"/>
    </font>
    <font>
      <sz val="10"/>
      <name val="Calibri"/>
      <family val="2"/>
      <scheme val="minor"/>
    </font>
    <font>
      <sz val="12"/>
      <color theme="1"/>
      <name val="Calibri"/>
      <family val="2"/>
      <scheme val="minor"/>
    </font>
    <font>
      <sz val="11"/>
      <color theme="1"/>
      <name val="Arial"/>
      <family val="2"/>
    </font>
    <font>
      <sz val="12"/>
      <color theme="1"/>
      <name val="Arial"/>
      <family val="2"/>
    </font>
    <font>
      <vertAlign val="superscript"/>
      <sz val="12"/>
      <color theme="1"/>
      <name val="Calibri"/>
      <family val="2"/>
      <scheme val="minor"/>
    </font>
    <font>
      <sz val="12"/>
      <name val="Calibri"/>
      <family val="2"/>
      <scheme val="minor"/>
    </font>
    <font>
      <b/>
      <sz val="8"/>
      <color rgb="FF000000"/>
      <name val="Arial"/>
      <family val="2"/>
    </font>
    <font>
      <i/>
      <sz val="8"/>
      <color rgb="FF000000"/>
      <name val="Arial"/>
      <family val="2"/>
    </font>
    <font>
      <sz val="9"/>
      <name val="Calibri"/>
      <family val="2"/>
      <scheme val="minor"/>
    </font>
    <font>
      <b/>
      <sz val="12"/>
      <color theme="1"/>
      <name val="Arial"/>
      <family val="2"/>
    </font>
    <font>
      <sz val="14"/>
      <color theme="1"/>
      <name val="Calibri"/>
      <family val="2"/>
      <scheme val="minor"/>
    </font>
    <font>
      <b/>
      <sz val="14"/>
      <color theme="1"/>
      <name val="Calibri"/>
      <family val="2"/>
      <scheme val="minor"/>
    </font>
    <font>
      <b/>
      <sz val="24"/>
      <color theme="3" tint="0.39997558519241921"/>
      <name val="Calibri"/>
      <family val="2"/>
      <scheme val="minor"/>
    </font>
    <font>
      <b/>
      <sz val="14"/>
      <color theme="0"/>
      <name val="Calibri"/>
      <family val="2"/>
      <scheme val="minor"/>
    </font>
    <font>
      <b/>
      <sz val="12"/>
      <name val="Calibri"/>
      <family val="2"/>
      <scheme val="minor"/>
    </font>
    <font>
      <b/>
      <sz val="11"/>
      <name val="Calibri"/>
      <family val="2"/>
      <scheme val="minor"/>
    </font>
    <font>
      <sz val="11"/>
      <color rgb="FF000000"/>
      <name val="Calibri"/>
      <family val="2"/>
      <scheme val="minor"/>
    </font>
    <font>
      <b/>
      <sz val="11"/>
      <color rgb="FFFF0000"/>
      <name val="Calibri"/>
      <family val="2"/>
      <scheme val="minor"/>
    </font>
    <font>
      <vertAlign val="superscript"/>
      <sz val="11"/>
      <color theme="1"/>
      <name val="Calibri"/>
      <family val="2"/>
      <scheme val="minor"/>
    </font>
    <font>
      <u/>
      <sz val="11"/>
      <color theme="10"/>
      <name val="Calibri"/>
      <family val="2"/>
      <scheme val="minor"/>
    </font>
    <font>
      <b/>
      <sz val="11"/>
      <color rgb="FF000000"/>
      <name val="Calibri"/>
      <family val="2"/>
      <scheme val="minor"/>
    </font>
    <font>
      <i/>
      <sz val="11"/>
      <color rgb="FF000000"/>
      <name val="Calibri"/>
      <family val="2"/>
      <scheme val="minor"/>
    </font>
    <font>
      <i/>
      <sz val="11"/>
      <color theme="1"/>
      <name val="Calibri"/>
      <family val="2"/>
      <scheme val="minor"/>
    </font>
    <font>
      <b/>
      <i/>
      <sz val="11"/>
      <color theme="0"/>
      <name val="Calibri"/>
      <family val="2"/>
      <scheme val="minor"/>
    </font>
    <font>
      <vertAlign val="superscript"/>
      <sz val="9"/>
      <color theme="1"/>
      <name val="Calibri"/>
      <family val="2"/>
      <scheme val="minor"/>
    </font>
    <font>
      <b/>
      <sz val="18"/>
      <name val="Calibri"/>
      <family val="2"/>
      <scheme val="minor"/>
    </font>
    <font>
      <i/>
      <sz val="11"/>
      <color rgb="FFFF0000"/>
      <name val="Calibri"/>
      <family val="2"/>
      <scheme val="minor"/>
    </font>
    <font>
      <b/>
      <sz val="9"/>
      <color theme="4" tint="-0.249977111117893"/>
      <name val="Arial"/>
      <family val="2"/>
    </font>
    <font>
      <b/>
      <sz val="8"/>
      <color theme="4" tint="-0.249977111117893"/>
      <name val="Arial"/>
      <family val="2"/>
    </font>
    <font>
      <b/>
      <sz val="24"/>
      <color theme="3"/>
      <name val="Calibri"/>
      <family val="2"/>
      <scheme val="minor"/>
    </font>
    <font>
      <b/>
      <sz val="18"/>
      <color theme="3" tint="0.39997558519241921"/>
      <name val="Calibri"/>
      <family val="2"/>
      <scheme val="minor"/>
    </font>
    <font>
      <b/>
      <sz val="8"/>
      <color rgb="FFFFFFFF"/>
      <name val="Arial"/>
      <family val="2"/>
    </font>
    <font>
      <sz val="8"/>
      <color theme="1"/>
      <name val="Arial"/>
      <family val="2"/>
    </font>
    <font>
      <b/>
      <sz val="8"/>
      <color theme="1"/>
      <name val="Arial"/>
      <family val="2"/>
    </font>
    <font>
      <b/>
      <sz val="10"/>
      <color theme="4" tint="-0.249977111117893"/>
      <name val="Arial"/>
      <family val="2"/>
    </font>
    <font>
      <b/>
      <sz val="10"/>
      <color theme="1"/>
      <name val="Arial"/>
      <family val="2"/>
    </font>
    <font>
      <b/>
      <sz val="22"/>
      <color theme="0"/>
      <name val="Calibri"/>
      <family val="2"/>
      <scheme val="minor"/>
    </font>
  </fonts>
  <fills count="16">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theme="4" tint="-0.499984740745262"/>
        <bgColor indexed="64"/>
      </patternFill>
    </fill>
    <fill>
      <patternFill patternType="solid">
        <fgColor rgb="FF00CCFF"/>
        <bgColor indexed="64"/>
      </patternFill>
    </fill>
    <fill>
      <patternFill patternType="solid">
        <fgColor theme="3" tint="0.79998168889431442"/>
        <bgColor indexed="64"/>
      </patternFill>
    </fill>
    <fill>
      <patternFill patternType="solid">
        <fgColor theme="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CBC5A"/>
        <bgColor indexed="64"/>
      </patternFill>
    </fill>
    <fill>
      <patternFill patternType="solid">
        <fgColor rgb="FFCFDFAF"/>
        <bgColor indexed="64"/>
      </patternFill>
    </fill>
    <fill>
      <patternFill patternType="solid">
        <fgColor theme="0"/>
        <bgColor indexed="64"/>
      </patternFill>
    </fill>
    <fill>
      <patternFill patternType="solid">
        <fgColor rgb="FFDEE4E9"/>
      </patternFill>
    </fill>
    <fill>
      <gradientFill degree="90">
        <stop position="0">
          <color theme="0"/>
        </stop>
        <stop position="0.5">
          <color theme="0"/>
        </stop>
        <stop position="1">
          <color theme="0"/>
        </stop>
      </gradientFill>
    </fill>
    <fill>
      <patternFill patternType="solid">
        <fgColor rgb="FF244062"/>
        <bgColor indexed="64"/>
      </patternFill>
    </fill>
  </fills>
  <borders count="135">
    <border>
      <left/>
      <right/>
      <top/>
      <bottom/>
      <diagonal/>
    </border>
    <border>
      <left/>
      <right/>
      <top/>
      <bottom style="thin">
        <color auto="1"/>
      </bottom>
      <diagonal/>
    </border>
    <border>
      <left/>
      <right style="medium">
        <color auto="1"/>
      </right>
      <top/>
      <bottom/>
      <diagonal/>
    </border>
    <border>
      <left style="medium">
        <color auto="1"/>
      </left>
      <right/>
      <top/>
      <bottom/>
      <diagonal/>
    </border>
    <border>
      <left/>
      <right style="medium">
        <color auto="1"/>
      </right>
      <top/>
      <bottom style="thin">
        <color auto="1"/>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ck">
        <color auto="1"/>
      </right>
      <top style="thick">
        <color auto="1"/>
      </top>
      <bottom/>
      <diagonal/>
    </border>
    <border>
      <left/>
      <right style="thick">
        <color auto="1"/>
      </right>
      <top/>
      <bottom/>
      <diagonal/>
    </border>
    <border>
      <left style="thick">
        <color auto="1"/>
      </left>
      <right style="medium">
        <color auto="1"/>
      </right>
      <top/>
      <bottom/>
      <diagonal/>
    </border>
    <border>
      <left/>
      <right style="thin">
        <color auto="1"/>
      </right>
      <top/>
      <bottom/>
      <diagonal/>
    </border>
    <border>
      <left style="thick">
        <color auto="1"/>
      </left>
      <right style="thick">
        <color auto="1"/>
      </right>
      <top/>
      <bottom/>
      <diagonal/>
    </border>
    <border>
      <left style="thick">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style="thick">
        <color auto="1"/>
      </right>
      <top/>
      <bottom style="thick">
        <color auto="1"/>
      </bottom>
      <diagonal/>
    </border>
    <border>
      <left style="thick">
        <color auto="1"/>
      </left>
      <right style="medium">
        <color auto="1"/>
      </right>
      <top style="medium">
        <color auto="1"/>
      </top>
      <bottom style="thick">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style="thick">
        <color auto="1"/>
      </right>
      <top style="medium">
        <color auto="1"/>
      </top>
      <bottom/>
      <diagonal/>
    </border>
    <border>
      <left style="thick">
        <color auto="1"/>
      </left>
      <right style="thick">
        <color auto="1"/>
      </right>
      <top style="thick">
        <color auto="1"/>
      </top>
      <bottom style="thin">
        <color auto="1"/>
      </bottom>
      <diagonal/>
    </border>
    <border>
      <left style="thick">
        <color auto="1"/>
      </left>
      <right/>
      <top/>
      <bottom style="thin">
        <color auto="1"/>
      </bottom>
      <diagonal/>
    </border>
    <border>
      <left style="thick">
        <color auto="1"/>
      </left>
      <right style="medium">
        <color auto="1"/>
      </right>
      <top/>
      <bottom style="thin">
        <color auto="1"/>
      </bottom>
      <diagonal/>
    </border>
    <border>
      <left/>
      <right style="thick">
        <color auto="1"/>
      </right>
      <top/>
      <bottom style="thin">
        <color auto="1"/>
      </bottom>
      <diagonal/>
    </border>
    <border>
      <left/>
      <right style="thin">
        <color auto="1"/>
      </right>
      <top/>
      <bottom style="thin">
        <color auto="1"/>
      </bottom>
      <diagonal/>
    </border>
    <border>
      <left style="thin">
        <color auto="1"/>
      </left>
      <right style="thick">
        <color auto="1"/>
      </right>
      <top/>
      <bottom style="thin">
        <color auto="1"/>
      </bottom>
      <diagonal/>
    </border>
    <border>
      <left style="thick">
        <color auto="1"/>
      </left>
      <right style="medium">
        <color auto="1"/>
      </right>
      <top style="thick">
        <color auto="1"/>
      </top>
      <bottom style="thin">
        <color auto="1"/>
      </bottom>
      <diagonal/>
    </border>
    <border>
      <left/>
      <right style="medium">
        <color auto="1"/>
      </right>
      <top style="thick">
        <color auto="1"/>
      </top>
      <bottom style="thin">
        <color auto="1"/>
      </bottom>
      <diagonal/>
    </border>
    <border>
      <left style="medium">
        <color auto="1"/>
      </left>
      <right style="medium">
        <color auto="1"/>
      </right>
      <top style="thick">
        <color auto="1"/>
      </top>
      <bottom style="thin">
        <color auto="1"/>
      </bottom>
      <diagonal/>
    </border>
    <border>
      <left/>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thick">
        <color auto="1"/>
      </left>
      <right style="thick">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auto="1"/>
      </left>
      <right style="medium">
        <color auto="1"/>
      </right>
      <top/>
      <bottom style="thin">
        <color auto="1"/>
      </bottom>
      <diagonal/>
    </border>
    <border>
      <left style="thick">
        <color auto="1"/>
      </left>
      <right style="thick">
        <color auto="1"/>
      </right>
      <top style="thin">
        <color auto="1"/>
      </top>
      <bottom/>
      <diagonal/>
    </border>
    <border>
      <left style="thick">
        <color auto="1"/>
      </left>
      <right/>
      <top style="thin">
        <color auto="1"/>
      </top>
      <bottom/>
      <diagonal/>
    </border>
    <border>
      <left style="medium">
        <color auto="1"/>
      </left>
      <right style="thick">
        <color auto="1"/>
      </right>
      <top style="thin">
        <color auto="1"/>
      </top>
      <bottom/>
      <diagonal/>
    </border>
    <border>
      <left style="thick">
        <color auto="1"/>
      </left>
      <right/>
      <top/>
      <bottom/>
      <diagonal/>
    </border>
    <border>
      <left style="medium">
        <color auto="1"/>
      </left>
      <right style="medium">
        <color auto="1"/>
      </right>
      <top style="thin">
        <color auto="1"/>
      </top>
      <bottom/>
      <diagonal/>
    </border>
    <border>
      <left/>
      <right/>
      <top style="thin">
        <color auto="1"/>
      </top>
      <bottom/>
      <diagonal/>
    </border>
    <border>
      <left style="thick">
        <color auto="1"/>
      </left>
      <right style="thick">
        <color auto="1"/>
      </right>
      <top style="medium">
        <color auto="1"/>
      </top>
      <bottom style="thick">
        <color auto="1"/>
      </bottom>
      <diagonal/>
    </border>
    <border>
      <left style="thick">
        <color auto="1"/>
      </left>
      <right/>
      <top style="medium">
        <color auto="1"/>
      </top>
      <bottom style="thick">
        <color auto="1"/>
      </bottom>
      <diagonal/>
    </border>
    <border>
      <left/>
      <right style="thick">
        <color auto="1"/>
      </right>
      <top style="medium">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ck">
        <color auto="1"/>
      </left>
      <right style="thick">
        <color auto="1"/>
      </right>
      <top style="thick">
        <color auto="1"/>
      </top>
      <bottom style="medium">
        <color auto="1"/>
      </bottom>
      <diagonal/>
    </border>
    <border>
      <left style="thick">
        <color auto="1"/>
      </left>
      <right/>
      <top style="thick">
        <color auto="1"/>
      </top>
      <bottom style="medium">
        <color auto="1"/>
      </bottom>
      <diagonal/>
    </border>
    <border>
      <left style="thick">
        <color auto="1"/>
      </left>
      <right style="medium">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medium">
        <color auto="1"/>
      </top>
      <bottom style="medium">
        <color auto="1"/>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ck">
        <color auto="1"/>
      </right>
      <top/>
      <bottom style="medium">
        <color auto="1"/>
      </bottom>
      <diagonal/>
    </border>
    <border>
      <left style="thick">
        <color auto="1"/>
      </left>
      <right style="thick">
        <color auto="1"/>
      </right>
      <top style="thin">
        <color auto="1"/>
      </top>
      <bottom style="thick">
        <color auto="1"/>
      </bottom>
      <diagonal/>
    </border>
    <border>
      <left style="thick">
        <color auto="1"/>
      </left>
      <right/>
      <top style="thin">
        <color auto="1"/>
      </top>
      <bottom style="thick">
        <color auto="1"/>
      </bottom>
      <diagonal/>
    </border>
    <border>
      <left style="thick">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medium">
        <color auto="1"/>
      </left>
      <right style="thick">
        <color auto="1"/>
      </right>
      <top/>
      <bottom style="thick">
        <color auto="1"/>
      </bottom>
      <diagonal/>
    </border>
    <border>
      <left style="thick">
        <color auto="1"/>
      </left>
      <right/>
      <top style="thick">
        <color auto="1"/>
      </top>
      <bottom style="thick">
        <color auto="1"/>
      </bottom>
      <diagonal/>
    </border>
    <border diagonalDown="1">
      <left style="thick">
        <color auto="1"/>
      </left>
      <right style="thick">
        <color auto="1"/>
      </right>
      <top style="thick">
        <color auto="1"/>
      </top>
      <bottom/>
      <diagonal style="thin">
        <color auto="1"/>
      </diagonal>
    </border>
    <border diagonalDown="1">
      <left style="thick">
        <color auto="1"/>
      </left>
      <right style="thick">
        <color auto="1"/>
      </right>
      <top/>
      <bottom/>
      <diagonal style="thin">
        <color auto="1"/>
      </diagonal>
    </border>
    <border diagonalDown="1">
      <left style="thick">
        <color auto="1"/>
      </left>
      <right style="thick">
        <color auto="1"/>
      </right>
      <top/>
      <bottom style="thick">
        <color auto="1"/>
      </bottom>
      <diagonal style="thin">
        <color auto="1"/>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thick">
        <color rgb="FFFFFFFF"/>
      </right>
      <top/>
      <bottom/>
      <diagonal/>
    </border>
    <border>
      <left/>
      <right style="medium">
        <color rgb="FFFFFFFF"/>
      </right>
      <top/>
      <bottom style="medium">
        <color rgb="FFFFFFFF"/>
      </bottom>
      <diagonal/>
    </border>
    <border>
      <left style="medium">
        <color rgb="FFFFFFFF"/>
      </left>
      <right style="thick">
        <color rgb="FFFFFFFF"/>
      </right>
      <top style="medium">
        <color rgb="FFFFFFFF"/>
      </top>
      <bottom/>
      <diagonal/>
    </border>
    <border>
      <left style="medium">
        <color rgb="FFFFFFFF"/>
      </left>
      <right style="thick">
        <color rgb="FFFFFFFF"/>
      </right>
      <top style="medium">
        <color rgb="FFFFFFFF"/>
      </top>
      <bottom style="medium">
        <color rgb="FFFFFFFF"/>
      </bottom>
      <diagonal/>
    </border>
    <border>
      <left style="medium">
        <color auto="1"/>
      </left>
      <right/>
      <top style="thin">
        <color auto="1"/>
      </top>
      <bottom/>
      <diagonal/>
    </border>
  </borders>
  <cellStyleXfs count="20">
    <xf numFmtId="0" fontId="0" fillId="0" borderId="0"/>
    <xf numFmtId="0" fontId="24" fillId="0" borderId="0" applyNumberFormat="0" applyFill="0" applyBorder="0" applyAlignment="0" applyProtection="0">
      <alignment vertical="top"/>
      <protection locked="0"/>
    </xf>
    <xf numFmtId="43" fontId="2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9" fontId="21" fillId="0" borderId="0" applyFont="0" applyFill="0" applyBorder="0" applyAlignment="0" applyProtection="0"/>
  </cellStyleXfs>
  <cellXfs count="850">
    <xf numFmtId="0" fontId="0" fillId="0" borderId="0" xfId="0"/>
    <xf numFmtId="0" fontId="1" fillId="0" borderId="0" xfId="13" applyFont="1" applyFill="1" applyBorder="1" applyAlignment="1">
      <alignment vertical="center"/>
    </xf>
    <xf numFmtId="3" fontId="28" fillId="0" borderId="0" xfId="1" applyNumberFormat="1" applyFont="1" applyFill="1" applyBorder="1" applyAlignment="1" applyProtection="1">
      <alignment horizontal="center"/>
      <protection locked="0"/>
    </xf>
    <xf numFmtId="0" fontId="22" fillId="0" borderId="0" xfId="0" applyFont="1"/>
    <xf numFmtId="165" fontId="22" fillId="0" borderId="0" xfId="0" applyNumberFormat="1" applyFont="1"/>
    <xf numFmtId="0" fontId="0" fillId="0" borderId="0" xfId="0" applyFont="1" applyFill="1" applyBorder="1"/>
    <xf numFmtId="166" fontId="21" fillId="0" borderId="0" xfId="2" applyNumberFormat="1" applyFont="1" applyFill="1" applyBorder="1" applyAlignment="1">
      <alignment horizontal="center"/>
    </xf>
    <xf numFmtId="0" fontId="26" fillId="0" borderId="0" xfId="0" applyFont="1"/>
    <xf numFmtId="0" fontId="9" fillId="0" borderId="0" xfId="0" applyFont="1" applyFill="1" applyBorder="1" applyAlignment="1">
      <alignment horizontal="center" textRotation="90" wrapText="1"/>
    </xf>
    <xf numFmtId="3" fontId="28" fillId="0" borderId="0" xfId="1" applyNumberFormat="1" applyFont="1" applyFill="1" applyBorder="1" applyAlignment="1" applyProtection="1">
      <protection locked="0"/>
    </xf>
    <xf numFmtId="3" fontId="4" fillId="0" borderId="0" xfId="17" applyNumberFormat="1" applyFont="1" applyFill="1" applyBorder="1" applyAlignment="1" applyProtection="1"/>
    <xf numFmtId="3" fontId="4" fillId="0" borderId="0" xfId="0" applyNumberFormat="1" applyFont="1" applyFill="1" applyAlignment="1" applyProtection="1">
      <alignment horizontal="left" vertical="center" indent="4"/>
    </xf>
    <xf numFmtId="3" fontId="4" fillId="0" borderId="0" xfId="0" applyNumberFormat="1" applyFont="1" applyFill="1" applyAlignment="1" applyProtection="1">
      <alignment horizontal="left" vertical="center" indent="3"/>
    </xf>
    <xf numFmtId="166" fontId="21" fillId="0" borderId="0" xfId="2" applyNumberFormat="1" applyFont="1"/>
    <xf numFmtId="3" fontId="1" fillId="0" borderId="2" xfId="17" applyNumberFormat="1" applyFont="1" applyFill="1" applyBorder="1" applyAlignment="1" applyProtection="1"/>
    <xf numFmtId="0" fontId="4" fillId="0" borderId="3" xfId="17" applyFont="1" applyFill="1" applyBorder="1" applyAlignment="1" applyProtection="1">
      <protection locked="0"/>
    </xf>
    <xf numFmtId="166" fontId="21" fillId="0" borderId="0" xfId="2" applyNumberFormat="1" applyFont="1" applyBorder="1"/>
    <xf numFmtId="164" fontId="31" fillId="0" borderId="0" xfId="0" applyNumberFormat="1" applyFont="1" applyAlignment="1">
      <alignment vertical="center"/>
    </xf>
    <xf numFmtId="0" fontId="31" fillId="0" borderId="0" xfId="0" applyFont="1"/>
    <xf numFmtId="3" fontId="1" fillId="0" borderId="0" xfId="17" applyNumberFormat="1" applyFont="1" applyFill="1" applyBorder="1" applyAlignment="1" applyProtection="1"/>
    <xf numFmtId="0" fontId="1" fillId="0" borderId="3" xfId="14" applyFont="1" applyFill="1" applyBorder="1" applyAlignment="1">
      <alignment wrapText="1"/>
    </xf>
    <xf numFmtId="0" fontId="33" fillId="0" borderId="0" xfId="0" applyFont="1"/>
    <xf numFmtId="0" fontId="33" fillId="0" borderId="0" xfId="0" applyFont="1" applyFill="1" applyBorder="1"/>
    <xf numFmtId="166" fontId="10" fillId="0" borderId="0" xfId="2" applyNumberFormat="1" applyFont="1" applyFill="1" applyBorder="1" applyAlignment="1">
      <alignment horizontal="right" vertical="center"/>
    </xf>
    <xf numFmtId="166" fontId="8" fillId="0" borderId="0" xfId="2" applyNumberFormat="1" applyFont="1" applyFill="1" applyBorder="1" applyAlignment="1">
      <alignment horizontal="right" vertical="center"/>
    </xf>
    <xf numFmtId="0" fontId="0" fillId="0" borderId="0" xfId="0" applyFill="1" applyBorder="1"/>
    <xf numFmtId="43" fontId="34" fillId="0" borderId="0" xfId="0" applyNumberFormat="1" applyFont="1" applyFill="1" applyBorder="1"/>
    <xf numFmtId="0" fontId="9" fillId="0" borderId="0" xfId="0" applyFont="1" applyFill="1" applyBorder="1" applyAlignment="1">
      <alignment horizontal="center"/>
    </xf>
    <xf numFmtId="166" fontId="34" fillId="0" borderId="0" xfId="2" applyNumberFormat="1" applyFont="1" applyFill="1" applyBorder="1"/>
    <xf numFmtId="166" fontId="35" fillId="0" borderId="0" xfId="2" applyNumberFormat="1" applyFont="1" applyBorder="1"/>
    <xf numFmtId="3" fontId="33" fillId="0" borderId="0" xfId="0" applyNumberFormat="1" applyFont="1" applyBorder="1"/>
    <xf numFmtId="0" fontId="33" fillId="0" borderId="0" xfId="0" applyFont="1" applyBorder="1"/>
    <xf numFmtId="0" fontId="37" fillId="0" borderId="0" xfId="0" applyFont="1" applyFill="1" applyBorder="1" applyAlignment="1" applyProtection="1">
      <alignment vertical="center"/>
      <protection locked="0"/>
    </xf>
    <xf numFmtId="3" fontId="38" fillId="0" borderId="0" xfId="1" applyNumberFormat="1" applyFont="1" applyFill="1" applyBorder="1" applyAlignment="1" applyProtection="1">
      <protection locked="0"/>
    </xf>
    <xf numFmtId="0" fontId="4" fillId="0" borderId="3" xfId="17" applyFont="1" applyFill="1" applyBorder="1" applyAlignment="1"/>
    <xf numFmtId="3" fontId="1" fillId="0" borderId="3" xfId="17" applyNumberFormat="1" applyFont="1" applyFill="1" applyBorder="1" applyAlignment="1" applyProtection="1"/>
    <xf numFmtId="166" fontId="21" fillId="0" borderId="0" xfId="2" applyNumberFormat="1" applyFont="1"/>
    <xf numFmtId="0" fontId="0" fillId="0" borderId="0" xfId="0" applyFill="1"/>
    <xf numFmtId="0" fontId="41" fillId="0" borderId="0" xfId="0" applyFont="1" applyFill="1" applyBorder="1" applyAlignment="1">
      <alignment horizontal="center" textRotation="90" wrapText="1"/>
    </xf>
    <xf numFmtId="0" fontId="41" fillId="0" borderId="0" xfId="0" applyFont="1" applyFill="1" applyBorder="1" applyAlignment="1">
      <alignment horizontal="center"/>
    </xf>
    <xf numFmtId="166" fontId="35" fillId="0" borderId="0" xfId="2" applyNumberFormat="1" applyFont="1" applyFill="1" applyBorder="1"/>
    <xf numFmtId="0" fontId="0" fillId="0" borderId="0" xfId="0" applyFont="1"/>
    <xf numFmtId="0" fontId="42" fillId="0" borderId="0" xfId="0" applyFont="1"/>
    <xf numFmtId="0" fontId="43" fillId="0" borderId="0" xfId="0" applyFont="1" applyAlignment="1"/>
    <xf numFmtId="0" fontId="44" fillId="0" borderId="0" xfId="0" applyFont="1" applyAlignment="1"/>
    <xf numFmtId="0" fontId="0" fillId="0" borderId="0" xfId="0" applyFont="1"/>
    <xf numFmtId="0" fontId="0" fillId="0" borderId="0" xfId="0" applyFont="1" applyBorder="1"/>
    <xf numFmtId="3" fontId="47" fillId="0" borderId="0" xfId="17" applyNumberFormat="1" applyFont="1" applyFill="1" applyBorder="1" applyAlignment="1" applyProtection="1">
      <alignment horizontal="center"/>
    </xf>
    <xf numFmtId="3" fontId="29" fillId="0" borderId="11" xfId="17" applyNumberFormat="1" applyFont="1" applyFill="1" applyBorder="1" applyAlignment="1" applyProtection="1"/>
    <xf numFmtId="3" fontId="48" fillId="0" borderId="0" xfId="1" applyNumberFormat="1" applyFont="1" applyFill="1" applyBorder="1" applyAlignment="1" applyProtection="1">
      <alignment horizontal="center"/>
      <protection locked="0"/>
    </xf>
    <xf numFmtId="3" fontId="29" fillId="0" borderId="6" xfId="17" applyNumberFormat="1" applyFont="1" applyFill="1" applyBorder="1" applyAlignment="1" applyProtection="1"/>
    <xf numFmtId="3" fontId="29" fillId="0" borderId="0" xfId="17" applyNumberFormat="1" applyFont="1" applyFill="1" applyBorder="1" applyAlignment="1" applyProtection="1"/>
    <xf numFmtId="3" fontId="29" fillId="0" borderId="2" xfId="17" applyNumberFormat="1" applyFont="1" applyFill="1" applyBorder="1" applyAlignment="1" applyProtection="1"/>
    <xf numFmtId="0" fontId="0" fillId="0" borderId="0" xfId="0" applyFont="1" applyFill="1" applyBorder="1"/>
    <xf numFmtId="165" fontId="0" fillId="0" borderId="0" xfId="0" applyNumberFormat="1" applyFont="1" applyFill="1" applyBorder="1" applyAlignment="1">
      <alignment horizontal="center"/>
    </xf>
    <xf numFmtId="166" fontId="0" fillId="0" borderId="0" xfId="0" applyNumberFormat="1" applyFont="1"/>
    <xf numFmtId="0" fontId="0" fillId="0" borderId="0" xfId="0" applyFont="1" applyFill="1"/>
    <xf numFmtId="3" fontId="29" fillId="0" borderId="11" xfId="17" applyNumberFormat="1" applyFont="1" applyFill="1" applyBorder="1" applyAlignment="1" applyProtection="1">
      <alignment vertical="center"/>
    </xf>
    <xf numFmtId="3" fontId="29" fillId="0" borderId="13" xfId="17" applyNumberFormat="1" applyFont="1" applyFill="1" applyBorder="1" applyAlignment="1" applyProtection="1">
      <alignment vertical="center"/>
    </xf>
    <xf numFmtId="3" fontId="29" fillId="0" borderId="6" xfId="17" applyNumberFormat="1" applyFont="1" applyFill="1" applyBorder="1" applyAlignment="1" applyProtection="1">
      <alignment vertical="center"/>
    </xf>
    <xf numFmtId="0" fontId="26" fillId="0" borderId="0" xfId="0" applyFont="1" applyBorder="1"/>
    <xf numFmtId="0" fontId="0" fillId="0" borderId="0" xfId="0" applyBorder="1"/>
    <xf numFmtId="0" fontId="57" fillId="5" borderId="0" xfId="17" applyFont="1" applyFill="1" applyBorder="1" applyAlignment="1" applyProtection="1">
      <alignment horizontal="center"/>
      <protection locked="0"/>
    </xf>
    <xf numFmtId="166" fontId="42" fillId="0" borderId="0" xfId="2" applyNumberFormat="1" applyFont="1" applyBorder="1" applyAlignment="1"/>
    <xf numFmtId="0" fontId="23" fillId="0" borderId="0" xfId="0" applyFont="1" applyFill="1" applyBorder="1" applyAlignment="1">
      <alignment vertical="center"/>
    </xf>
    <xf numFmtId="3" fontId="29" fillId="9" borderId="11" xfId="17" applyNumberFormat="1" applyFont="1" applyFill="1" applyBorder="1" applyAlignment="1" applyProtection="1">
      <alignment vertical="center"/>
    </xf>
    <xf numFmtId="3" fontId="15" fillId="0" borderId="0" xfId="0" applyNumberFormat="1" applyFont="1" applyAlignment="1">
      <alignment horizontal="center"/>
    </xf>
    <xf numFmtId="0" fontId="4" fillId="0" borderId="0" xfId="0" applyFont="1"/>
    <xf numFmtId="0" fontId="16" fillId="0" borderId="0" xfId="0" applyFont="1"/>
    <xf numFmtId="167" fontId="15" fillId="0" borderId="0" xfId="0" applyNumberFormat="1" applyFont="1" applyFill="1" applyAlignment="1">
      <alignment horizontal="center"/>
    </xf>
    <xf numFmtId="169" fontId="15" fillId="0" borderId="0" xfId="0" applyNumberFormat="1" applyFont="1" applyFill="1" applyAlignment="1">
      <alignment horizontal="center"/>
    </xf>
    <xf numFmtId="2" fontId="15" fillId="0" borderId="0" xfId="0" applyNumberFormat="1" applyFont="1" applyFill="1" applyAlignment="1">
      <alignment horizontal="center"/>
    </xf>
    <xf numFmtId="172" fontId="4" fillId="0" borderId="0" xfId="0" applyNumberFormat="1" applyFont="1" applyFill="1"/>
    <xf numFmtId="0" fontId="4" fillId="0" borderId="0" xfId="0" applyFont="1" applyFill="1"/>
    <xf numFmtId="3" fontId="15" fillId="0" borderId="0" xfId="0" applyNumberFormat="1" applyFont="1" applyFill="1" applyAlignment="1">
      <alignment horizontal="center"/>
    </xf>
    <xf numFmtId="0" fontId="11" fillId="0" borderId="0" xfId="6" applyFont="1" applyAlignment="1">
      <alignment vertical="top"/>
    </xf>
    <xf numFmtId="0" fontId="11" fillId="0" borderId="0" xfId="0" applyFont="1" applyAlignment="1">
      <alignment vertical="top"/>
    </xf>
    <xf numFmtId="0" fontId="17" fillId="0" borderId="0" xfId="0" applyFont="1" applyAlignment="1">
      <alignment vertical="top"/>
    </xf>
    <xf numFmtId="0" fontId="11" fillId="0" borderId="0" xfId="5" applyFont="1" applyAlignment="1">
      <alignment horizontal="left"/>
    </xf>
    <xf numFmtId="2" fontId="4" fillId="0" borderId="6" xfId="0" applyNumberFormat="1" applyFont="1" applyBorder="1" applyAlignment="1">
      <alignment horizontal="right"/>
    </xf>
    <xf numFmtId="0" fontId="4" fillId="0" borderId="9" xfId="0" applyFont="1" applyBorder="1"/>
    <xf numFmtId="0" fontId="4" fillId="0" borderId="8" xfId="0" applyFont="1" applyBorder="1"/>
    <xf numFmtId="0" fontId="4" fillId="0" borderId="7" xfId="0" applyFont="1" applyBorder="1"/>
    <xf numFmtId="4" fontId="4" fillId="0" borderId="11" xfId="0" applyNumberFormat="1" applyFont="1" applyBorder="1" applyAlignment="1">
      <alignment horizontal="right"/>
    </xf>
    <xf numFmtId="4" fontId="4" fillId="0" borderId="2" xfId="0" applyNumberFormat="1" applyFont="1" applyBorder="1" applyAlignment="1">
      <alignment horizontal="right"/>
    </xf>
    <xf numFmtId="4" fontId="4" fillId="0" borderId="2" xfId="0" applyNumberFormat="1" applyFont="1" applyBorder="1"/>
    <xf numFmtId="0" fontId="4" fillId="0" borderId="2" xfId="0" applyFont="1" applyBorder="1"/>
    <xf numFmtId="0" fontId="4" fillId="0" borderId="0" xfId="0" applyFont="1" applyBorder="1"/>
    <xf numFmtId="0" fontId="4" fillId="0" borderId="0" xfId="0" applyFont="1" applyBorder="1" applyAlignment="1">
      <alignment horizontal="left"/>
    </xf>
    <xf numFmtId="0" fontId="4" fillId="0" borderId="3" xfId="0" applyFont="1" applyBorder="1"/>
    <xf numFmtId="4" fontId="4" fillId="0" borderId="2" xfId="0" applyNumberFormat="1" applyFont="1" applyBorder="1" applyAlignment="1">
      <alignment horizontal="left" wrapText="1"/>
    </xf>
    <xf numFmtId="4" fontId="4" fillId="0" borderId="2" xfId="0" applyNumberFormat="1" applyFont="1" applyFill="1" applyBorder="1"/>
    <xf numFmtId="2" fontId="4" fillId="0" borderId="11" xfId="0" applyNumberFormat="1" applyFont="1" applyBorder="1" applyAlignment="1">
      <alignment horizontal="right"/>
    </xf>
    <xf numFmtId="2" fontId="4" fillId="10" borderId="11" xfId="0" applyNumberFormat="1" applyFont="1" applyFill="1" applyBorder="1" applyAlignment="1">
      <alignment horizontal="right"/>
    </xf>
    <xf numFmtId="0" fontId="4" fillId="10" borderId="2" xfId="0" applyFont="1" applyFill="1" applyBorder="1"/>
    <xf numFmtId="0" fontId="4" fillId="10" borderId="0" xfId="0" applyFont="1" applyFill="1" applyBorder="1"/>
    <xf numFmtId="0" fontId="1" fillId="10" borderId="0" xfId="0" applyFont="1" applyFill="1" applyBorder="1" applyAlignment="1">
      <alignment horizontal="left"/>
    </xf>
    <xf numFmtId="0" fontId="1" fillId="10" borderId="3" xfId="0" quotePrefix="1" applyFont="1" applyFill="1" applyBorder="1"/>
    <xf numFmtId="3" fontId="4" fillId="0" borderId="11" xfId="0" applyNumberFormat="1" applyFont="1" applyFill="1" applyBorder="1" applyAlignment="1">
      <alignment horizontal="right"/>
    </xf>
    <xf numFmtId="3" fontId="4" fillId="0" borderId="2" xfId="0" applyNumberFormat="1" applyFont="1" applyFill="1" applyBorder="1"/>
    <xf numFmtId="0" fontId="4" fillId="0" borderId="2" xfId="0" applyFont="1" applyFill="1" applyBorder="1"/>
    <xf numFmtId="0" fontId="4" fillId="0" borderId="0" xfId="0" applyFont="1" applyFill="1" applyBorder="1"/>
    <xf numFmtId="0" fontId="4" fillId="0" borderId="0" xfId="0" applyFont="1" applyFill="1" applyBorder="1" applyAlignment="1">
      <alignment horizontal="left"/>
    </xf>
    <xf numFmtId="0" fontId="4" fillId="0" borderId="3" xfId="0" applyFont="1" applyFill="1" applyBorder="1"/>
    <xf numFmtId="3" fontId="4" fillId="0" borderId="2" xfId="0" applyNumberFormat="1" applyFont="1" applyBorder="1"/>
    <xf numFmtId="3" fontId="1" fillId="11" borderId="11" xfId="0" applyNumberFormat="1" applyFont="1" applyFill="1" applyBorder="1" applyAlignment="1">
      <alignment horizontal="right"/>
    </xf>
    <xf numFmtId="3" fontId="1" fillId="11" borderId="2" xfId="0" applyNumberFormat="1" applyFont="1" applyFill="1" applyBorder="1"/>
    <xf numFmtId="0" fontId="1" fillId="11" borderId="2" xfId="0" applyFont="1" applyFill="1" applyBorder="1"/>
    <xf numFmtId="0" fontId="1" fillId="11" borderId="0" xfId="0" applyFont="1" applyFill="1" applyBorder="1"/>
    <xf numFmtId="0" fontId="1" fillId="11" borderId="0" xfId="0" applyFont="1" applyFill="1" applyBorder="1" applyAlignment="1">
      <alignment horizontal="left"/>
    </xf>
    <xf numFmtId="0" fontId="1" fillId="11" borderId="3" xfId="0" applyFont="1" applyFill="1" applyBorder="1"/>
    <xf numFmtId="3" fontId="4" fillId="0" borderId="11" xfId="0" applyNumberFormat="1" applyFont="1" applyBorder="1" applyAlignment="1">
      <alignment horizontal="right"/>
    </xf>
    <xf numFmtId="0" fontId="4" fillId="0" borderId="2" xfId="0" applyFont="1" applyFill="1" applyBorder="1" applyAlignment="1">
      <alignment horizontal="left"/>
    </xf>
    <xf numFmtId="3" fontId="4" fillId="0" borderId="2" xfId="0" applyNumberFormat="1" applyFont="1" applyBorder="1" applyAlignment="1">
      <alignment vertical="justify"/>
    </xf>
    <xf numFmtId="0" fontId="4" fillId="0" borderId="2" xfId="0" applyFont="1" applyBorder="1" applyAlignment="1">
      <alignment vertical="justify"/>
    </xf>
    <xf numFmtId="3" fontId="4" fillId="0" borderId="2" xfId="0" applyNumberFormat="1" applyFont="1" applyFill="1" applyBorder="1" applyAlignment="1">
      <alignment vertical="justify" wrapText="1"/>
    </xf>
    <xf numFmtId="0" fontId="4" fillId="0" borderId="2" xfId="0" applyFont="1" applyFill="1" applyBorder="1" applyAlignment="1">
      <alignment vertical="justify" wrapText="1"/>
    </xf>
    <xf numFmtId="3" fontId="4" fillId="0" borderId="0" xfId="17" applyNumberFormat="1" applyFont="1" applyFill="1" applyAlignment="1" applyProtection="1">
      <protection locked="0"/>
    </xf>
    <xf numFmtId="3" fontId="4" fillId="0" borderId="0" xfId="17" applyNumberFormat="1" applyFont="1" applyFill="1" applyAlignment="1"/>
    <xf numFmtId="3" fontId="4" fillId="0" borderId="2" xfId="0" applyNumberFormat="1" applyFont="1" applyFill="1" applyBorder="1" applyAlignment="1">
      <alignment vertical="justify"/>
    </xf>
    <xf numFmtId="0" fontId="4" fillId="0" borderId="2" xfId="0" applyFont="1" applyFill="1" applyBorder="1" applyAlignment="1">
      <alignment vertical="justify"/>
    </xf>
    <xf numFmtId="3" fontId="1" fillId="0" borderId="0" xfId="17" applyNumberFormat="1" applyFont="1" applyFill="1" applyAlignment="1" applyProtection="1"/>
    <xf numFmtId="3" fontId="38" fillId="0" borderId="0" xfId="1" applyNumberFormat="1" applyFont="1" applyFill="1" applyAlignment="1" applyProtection="1">
      <protection locked="0"/>
    </xf>
    <xf numFmtId="0" fontId="1" fillId="0" borderId="0" xfId="17" applyFont="1" applyFill="1" applyAlignment="1" applyProtection="1">
      <alignment horizontal="right" vertical="center"/>
      <protection locked="0"/>
    </xf>
    <xf numFmtId="0" fontId="4" fillId="11" borderId="3" xfId="0" applyFont="1" applyFill="1" applyBorder="1"/>
    <xf numFmtId="3" fontId="4" fillId="0" borderId="11" xfId="0" applyNumberFormat="1" applyFont="1" applyFill="1" applyBorder="1"/>
    <xf numFmtId="0" fontId="4" fillId="0" borderId="11" xfId="0" applyFont="1" applyFill="1" applyBorder="1"/>
    <xf numFmtId="3" fontId="1" fillId="10" borderId="11" xfId="0" applyNumberFormat="1" applyFont="1" applyFill="1" applyBorder="1" applyAlignment="1">
      <alignment horizontal="right"/>
    </xf>
    <xf numFmtId="3" fontId="1" fillId="10" borderId="2" xfId="0" applyNumberFormat="1" applyFont="1" applyFill="1" applyBorder="1"/>
    <xf numFmtId="0" fontId="1" fillId="10" borderId="2" xfId="0" applyFont="1" applyFill="1" applyBorder="1"/>
    <xf numFmtId="0" fontId="1" fillId="10" borderId="0" xfId="0" applyFont="1" applyFill="1" applyBorder="1"/>
    <xf numFmtId="0" fontId="1" fillId="10" borderId="3" xfId="0" applyFont="1" applyFill="1" applyBorder="1"/>
    <xf numFmtId="0" fontId="59" fillId="0" borderId="0" xfId="0" applyFont="1" applyBorder="1" applyAlignment="1">
      <alignment horizontal="center"/>
    </xf>
    <xf numFmtId="0" fontId="60" fillId="0" borderId="0" xfId="0" applyFont="1" applyAlignment="1">
      <alignment horizontal="center"/>
    </xf>
    <xf numFmtId="0" fontId="1" fillId="0" borderId="0" xfId="0" applyFont="1" applyAlignment="1"/>
    <xf numFmtId="0" fontId="15" fillId="0" borderId="0" xfId="0" applyFont="1" applyAlignment="1"/>
    <xf numFmtId="16" fontId="1" fillId="0" borderId="0" xfId="0" applyNumberFormat="1" applyFont="1" applyAlignment="1"/>
    <xf numFmtId="0" fontId="15" fillId="0" borderId="0" xfId="0" applyFont="1" applyBorder="1" applyAlignment="1"/>
    <xf numFmtId="3" fontId="15" fillId="0" borderId="0" xfId="0" applyNumberFormat="1" applyFont="1" applyAlignment="1"/>
    <xf numFmtId="0" fontId="9" fillId="0" borderId="0" xfId="0" applyFont="1" applyAlignment="1"/>
    <xf numFmtId="0" fontId="18" fillId="0" borderId="0" xfId="0" applyFont="1" applyAlignment="1">
      <alignment horizontal="left" vertical="center"/>
    </xf>
    <xf numFmtId="3" fontId="15" fillId="0" borderId="0" xfId="0" applyNumberFormat="1" applyFont="1" applyFill="1" applyAlignment="1"/>
    <xf numFmtId="0" fontId="15" fillId="0" borderId="0" xfId="0" applyFont="1" applyFill="1" applyBorder="1" applyAlignment="1"/>
    <xf numFmtId="0" fontId="59" fillId="0" borderId="0" xfId="0" applyFont="1" applyFill="1" applyBorder="1" applyAlignment="1">
      <alignment horizontal="center"/>
    </xf>
    <xf numFmtId="0" fontId="26" fillId="0" borderId="0" xfId="0" applyFont="1" applyFill="1" applyBorder="1"/>
    <xf numFmtId="0" fontId="61" fillId="0" borderId="0" xfId="0" applyFont="1" applyAlignment="1"/>
    <xf numFmtId="0" fontId="62" fillId="0" borderId="0" xfId="0" applyFont="1" applyAlignment="1"/>
    <xf numFmtId="3" fontId="0" fillId="0" borderId="0" xfId="0" applyNumberFormat="1"/>
    <xf numFmtId="3" fontId="63" fillId="0" borderId="128" xfId="0" applyNumberFormat="1" applyFont="1" applyFill="1" applyBorder="1" applyAlignment="1">
      <alignment horizontal="right" vertical="center"/>
    </xf>
    <xf numFmtId="3" fontId="63" fillId="0" borderId="129" xfId="0" applyNumberFormat="1" applyFont="1" applyFill="1" applyBorder="1" applyAlignment="1">
      <alignment horizontal="right" vertical="center"/>
    </xf>
    <xf numFmtId="3" fontId="63" fillId="0" borderId="130" xfId="0" applyNumberFormat="1" applyFont="1" applyFill="1" applyBorder="1" applyAlignment="1">
      <alignment horizontal="right" vertical="center"/>
    </xf>
    <xf numFmtId="3" fontId="64" fillId="0" borderId="131" xfId="0" applyNumberFormat="1" applyFont="1" applyFill="1" applyBorder="1" applyAlignment="1">
      <alignment horizontal="right" vertical="center"/>
    </xf>
    <xf numFmtId="3" fontId="63" fillId="0" borderId="132" xfId="0" applyNumberFormat="1" applyFont="1" applyFill="1" applyBorder="1" applyAlignment="1">
      <alignment horizontal="right" vertical="center"/>
    </xf>
    <xf numFmtId="3" fontId="65" fillId="0" borderId="132" xfId="0" applyNumberFormat="1" applyFont="1" applyFill="1" applyBorder="1" applyAlignment="1">
      <alignment horizontal="right" vertical="center"/>
    </xf>
    <xf numFmtId="3" fontId="63" fillId="0" borderId="133" xfId="0" applyNumberFormat="1" applyFont="1" applyFill="1" applyBorder="1" applyAlignment="1">
      <alignment horizontal="right" vertical="center"/>
    </xf>
    <xf numFmtId="0" fontId="32" fillId="12" borderId="0" xfId="0" applyFont="1" applyFill="1"/>
    <xf numFmtId="0" fontId="32" fillId="12" borderId="0" xfId="0" applyFont="1" applyFill="1" applyBorder="1"/>
    <xf numFmtId="0" fontId="3" fillId="12" borderId="0" xfId="0" applyFont="1" applyFill="1" applyBorder="1" applyAlignment="1">
      <alignment horizontal="center" vertical="center"/>
    </xf>
    <xf numFmtId="3" fontId="29" fillId="0" borderId="17" xfId="17" applyNumberFormat="1" applyFont="1" applyFill="1" applyBorder="1" applyAlignment="1" applyProtection="1"/>
    <xf numFmtId="3" fontId="1" fillId="0" borderId="6" xfId="0" applyNumberFormat="1" applyFont="1" applyBorder="1" applyAlignment="1">
      <alignment horizontal="center" vertical="center" wrapText="1"/>
    </xf>
    <xf numFmtId="0" fontId="47" fillId="0" borderId="0" xfId="17" applyFont="1" applyFill="1" applyAlignment="1" applyProtection="1">
      <alignment vertical="center"/>
    </xf>
    <xf numFmtId="0" fontId="47" fillId="0" borderId="0" xfId="17" applyFont="1" applyFill="1" applyAlignment="1" applyProtection="1">
      <alignment vertical="center" wrapText="1"/>
    </xf>
    <xf numFmtId="0" fontId="29" fillId="0" borderId="0" xfId="17" applyFont="1" applyFill="1" applyAlignment="1" applyProtection="1">
      <alignment horizontal="right" vertical="center"/>
    </xf>
    <xf numFmtId="0" fontId="0" fillId="0" borderId="0" xfId="0" applyFont="1" applyProtection="1"/>
    <xf numFmtId="164" fontId="0" fillId="0" borderId="0" xfId="0" applyNumberFormat="1" applyFont="1" applyAlignment="1" applyProtection="1">
      <alignment vertical="center"/>
    </xf>
    <xf numFmtId="0" fontId="47" fillId="0" borderId="0" xfId="17" applyFont="1" applyFill="1" applyBorder="1" applyAlignment="1" applyProtection="1">
      <alignment vertical="center"/>
    </xf>
    <xf numFmtId="0" fontId="29" fillId="0" borderId="0" xfId="17" applyFont="1" applyFill="1" applyBorder="1" applyAlignment="1" applyProtection="1">
      <alignment vertical="center"/>
    </xf>
    <xf numFmtId="164" fontId="47" fillId="0" borderId="0" xfId="0" applyNumberFormat="1" applyFont="1" applyFill="1" applyBorder="1" applyAlignment="1" applyProtection="1">
      <alignment horizontal="right" vertical="center"/>
    </xf>
    <xf numFmtId="0" fontId="0" fillId="0" borderId="0" xfId="0" applyFont="1" applyBorder="1" applyProtection="1"/>
    <xf numFmtId="0" fontId="47" fillId="0" borderId="0" xfId="13" applyFont="1" applyFill="1" applyBorder="1" applyAlignment="1" applyProtection="1">
      <alignment vertical="center"/>
    </xf>
    <xf numFmtId="3" fontId="47" fillId="0" borderId="0" xfId="13" applyNumberFormat="1" applyFont="1" applyFill="1" applyBorder="1" applyAlignment="1" applyProtection="1">
      <alignment horizontal="right" vertical="center"/>
    </xf>
    <xf numFmtId="0" fontId="0" fillId="0" borderId="0" xfId="0" applyFont="1" applyFill="1" applyBorder="1" applyProtection="1"/>
    <xf numFmtId="0" fontId="30" fillId="0" borderId="0" xfId="13" applyFont="1" applyFill="1" applyBorder="1" applyAlignment="1" applyProtection="1">
      <alignment vertical="center"/>
    </xf>
    <xf numFmtId="0" fontId="23" fillId="4" borderId="7" xfId="17" applyFont="1" applyFill="1" applyBorder="1" applyAlignment="1" applyProtection="1">
      <alignment horizontal="center" vertical="center" wrapText="1"/>
    </xf>
    <xf numFmtId="0" fontId="23" fillId="4" borderId="8" xfId="17" applyFont="1" applyFill="1" applyBorder="1" applyAlignment="1" applyProtection="1">
      <alignment horizontal="center" vertical="center" wrapText="1"/>
    </xf>
    <xf numFmtId="2" fontId="55" fillId="4" borderId="12" xfId="17" applyNumberFormat="1" applyFont="1" applyFill="1" applyBorder="1" applyAlignment="1" applyProtection="1">
      <alignment horizontal="center" vertical="center" wrapText="1"/>
    </xf>
    <xf numFmtId="0" fontId="55" fillId="4" borderId="5" xfId="17" applyFont="1" applyFill="1" applyBorder="1" applyAlignment="1" applyProtection="1">
      <alignment horizontal="center" vertical="center" wrapText="1"/>
    </xf>
    <xf numFmtId="0" fontId="23" fillId="4" borderId="13" xfId="17" applyFont="1" applyFill="1" applyBorder="1" applyAlignment="1" applyProtection="1">
      <alignment horizontal="center" vertical="center" wrapText="1"/>
    </xf>
    <xf numFmtId="0" fontId="29" fillId="0" borderId="0" xfId="17" applyFont="1" applyBorder="1" applyAlignment="1" applyProtection="1">
      <alignment horizontal="left" vertical="center" wrapText="1"/>
    </xf>
    <xf numFmtId="0" fontId="23" fillId="0" borderId="0" xfId="0" applyFont="1" applyFill="1" applyBorder="1" applyAlignment="1" applyProtection="1">
      <alignment horizontal="left" vertical="center"/>
    </xf>
    <xf numFmtId="0" fontId="47" fillId="0" borderId="3" xfId="17" applyFont="1" applyFill="1" applyBorder="1" applyAlignment="1" applyProtection="1"/>
    <xf numFmtId="2" fontId="47" fillId="0" borderId="11" xfId="17" applyNumberFormat="1" applyFont="1" applyFill="1" applyBorder="1" applyAlignment="1" applyProtection="1">
      <alignment horizontal="right" vertical="center"/>
    </xf>
    <xf numFmtId="0" fontId="29" fillId="0" borderId="2" xfId="17" applyFont="1" applyFill="1" applyBorder="1" applyAlignment="1" applyProtection="1"/>
    <xf numFmtId="166" fontId="47" fillId="0" borderId="3" xfId="2" applyNumberFormat="1" applyFont="1" applyFill="1" applyBorder="1" applyAlignment="1" applyProtection="1">
      <alignment horizontal="left" vertical="center"/>
    </xf>
    <xf numFmtId="166" fontId="47" fillId="0" borderId="0" xfId="2" applyNumberFormat="1" applyFont="1" applyFill="1" applyBorder="1" applyAlignment="1" applyProtection="1">
      <alignment horizontal="left" vertical="center"/>
    </xf>
    <xf numFmtId="3" fontId="29" fillId="0" borderId="13" xfId="17" applyNumberFormat="1" applyFont="1" applyFill="1" applyBorder="1" applyAlignment="1" applyProtection="1"/>
    <xf numFmtId="166" fontId="47" fillId="0" borderId="0" xfId="2" applyNumberFormat="1" applyFont="1" applyFill="1" applyBorder="1" applyAlignment="1" applyProtection="1"/>
    <xf numFmtId="0" fontId="23" fillId="0" borderId="0" xfId="0" applyFont="1" applyFill="1" applyBorder="1" applyAlignment="1" applyProtection="1">
      <alignment horizontal="center" vertical="center"/>
    </xf>
    <xf numFmtId="0" fontId="29" fillId="0" borderId="3" xfId="17" applyFont="1" applyFill="1" applyBorder="1" applyAlignment="1" applyProtection="1">
      <alignment vertical="center"/>
    </xf>
    <xf numFmtId="2" fontId="29" fillId="0" borderId="11" xfId="17" applyNumberFormat="1" applyFont="1" applyFill="1" applyBorder="1" applyAlignment="1" applyProtection="1">
      <alignment horizontal="right" vertical="center"/>
    </xf>
    <xf numFmtId="0" fontId="47" fillId="0" borderId="2" xfId="17" applyFont="1" applyFill="1" applyBorder="1" applyAlignment="1" applyProtection="1">
      <alignment horizontal="right" vertical="center"/>
    </xf>
    <xf numFmtId="43" fontId="21" fillId="0" borderId="3" xfId="2" applyNumberFormat="1" applyFont="1" applyFill="1" applyBorder="1" applyAlignment="1" applyProtection="1">
      <alignment horizontal="left" vertical="center"/>
    </xf>
    <xf numFmtId="43" fontId="21" fillId="0" borderId="0" xfId="2" applyNumberFormat="1" applyFont="1" applyFill="1" applyBorder="1" applyAlignment="1" applyProtection="1">
      <alignment horizontal="left" vertical="center"/>
    </xf>
    <xf numFmtId="166" fontId="21" fillId="0" borderId="0" xfId="2" applyNumberFormat="1" applyFont="1" applyFill="1" applyBorder="1" applyAlignment="1" applyProtection="1">
      <alignment horizontal="left" vertical="center"/>
    </xf>
    <xf numFmtId="0" fontId="29" fillId="0" borderId="3" xfId="17" applyFont="1" applyFill="1" applyBorder="1" applyAlignment="1" applyProtection="1"/>
    <xf numFmtId="2" fontId="29" fillId="6" borderId="11" xfId="0" applyNumberFormat="1" applyFont="1" applyFill="1" applyBorder="1" applyAlignment="1" applyProtection="1">
      <alignment horizontal="right"/>
    </xf>
    <xf numFmtId="166" fontId="21" fillId="0" borderId="0" xfId="2" applyNumberFormat="1" applyFont="1" applyBorder="1" applyProtection="1"/>
    <xf numFmtId="0" fontId="0" fillId="0" borderId="11" xfId="0" applyFont="1" applyBorder="1" applyProtection="1"/>
    <xf numFmtId="43" fontId="47" fillId="0" borderId="0" xfId="2" applyFont="1" applyFill="1" applyBorder="1" applyAlignment="1" applyProtection="1"/>
    <xf numFmtId="43" fontId="29" fillId="0" borderId="11" xfId="17" applyNumberFormat="1" applyFont="1" applyFill="1" applyBorder="1" applyAlignment="1" applyProtection="1">
      <alignment horizontal="right" vertical="center"/>
    </xf>
    <xf numFmtId="43" fontId="47" fillId="0" borderId="0" xfId="2" applyFont="1" applyFill="1" applyBorder="1" applyAlignment="1" applyProtection="1">
      <alignment vertical="center"/>
    </xf>
    <xf numFmtId="0" fontId="47" fillId="5" borderId="3" xfId="17" applyFont="1" applyFill="1" applyBorder="1" applyAlignment="1" applyProtection="1">
      <alignment vertical="center"/>
    </xf>
    <xf numFmtId="0" fontId="26" fillId="5" borderId="11" xfId="17" applyFont="1" applyFill="1" applyBorder="1" applyAlignment="1" applyProtection="1">
      <alignment horizontal="right" vertical="center"/>
    </xf>
    <xf numFmtId="0" fontId="29" fillId="5" borderId="2" xfId="17" applyFont="1" applyFill="1" applyBorder="1" applyAlignment="1" applyProtection="1"/>
    <xf numFmtId="43" fontId="21" fillId="5" borderId="0" xfId="2" applyNumberFormat="1" applyFont="1" applyFill="1" applyBorder="1" applyProtection="1"/>
    <xf numFmtId="166" fontId="21" fillId="5" borderId="0" xfId="2" applyNumberFormat="1" applyFont="1" applyFill="1" applyBorder="1" applyProtection="1"/>
    <xf numFmtId="3" fontId="29" fillId="5" borderId="11" xfId="17" applyNumberFormat="1" applyFont="1" applyFill="1" applyBorder="1" applyAlignment="1" applyProtection="1"/>
    <xf numFmtId="0" fontId="29" fillId="5" borderId="3" xfId="17" applyFont="1" applyFill="1" applyBorder="1" applyAlignment="1" applyProtection="1">
      <alignment vertical="center"/>
    </xf>
    <xf numFmtId="9" fontId="29" fillId="5" borderId="11" xfId="19" applyFont="1" applyFill="1" applyBorder="1" applyAlignment="1" applyProtection="1">
      <alignment horizontal="right" vertical="center"/>
    </xf>
    <xf numFmtId="43" fontId="21" fillId="5" borderId="3" xfId="2" applyNumberFormat="1" applyFont="1" applyFill="1" applyBorder="1" applyAlignment="1" applyProtection="1">
      <alignment horizontal="left" vertical="center"/>
    </xf>
    <xf numFmtId="43" fontId="21" fillId="5" borderId="0" xfId="2" applyNumberFormat="1" applyFont="1" applyFill="1" applyBorder="1" applyAlignment="1" applyProtection="1">
      <alignment horizontal="left" vertical="center"/>
    </xf>
    <xf numFmtId="43" fontId="0" fillId="5" borderId="0" xfId="2" applyNumberFormat="1" applyFont="1" applyFill="1" applyBorder="1" applyAlignment="1" applyProtection="1">
      <alignment horizontal="left" vertical="center"/>
    </xf>
    <xf numFmtId="166" fontId="21" fillId="5" borderId="0" xfId="2" applyNumberFormat="1" applyFont="1" applyFill="1" applyBorder="1" applyAlignment="1" applyProtection="1">
      <alignment horizontal="left" vertical="center"/>
    </xf>
    <xf numFmtId="0" fontId="29" fillId="5" borderId="7" xfId="17" applyFont="1" applyFill="1" applyBorder="1" applyAlignment="1" applyProtection="1">
      <alignment vertical="center"/>
    </xf>
    <xf numFmtId="43" fontId="0" fillId="5" borderId="6" xfId="0" applyNumberFormat="1" applyFont="1" applyFill="1" applyBorder="1" applyProtection="1"/>
    <xf numFmtId="0" fontId="47" fillId="5" borderId="9" xfId="17" applyFont="1" applyFill="1" applyBorder="1" applyAlignment="1" applyProtection="1">
      <alignment horizontal="right" vertical="center"/>
    </xf>
    <xf numFmtId="43" fontId="21" fillId="5" borderId="7" xfId="2" applyNumberFormat="1" applyFont="1" applyFill="1" applyBorder="1" applyAlignment="1" applyProtection="1">
      <alignment horizontal="left" vertical="center"/>
    </xf>
    <xf numFmtId="43" fontId="21" fillId="5" borderId="8" xfId="2" applyNumberFormat="1" applyFont="1" applyFill="1" applyBorder="1" applyAlignment="1" applyProtection="1">
      <alignment horizontal="left" vertical="center"/>
    </xf>
    <xf numFmtId="166" fontId="21" fillId="5" borderId="8" xfId="2" applyNumberFormat="1" applyFont="1" applyFill="1" applyBorder="1" applyAlignment="1" applyProtection="1">
      <alignment horizontal="left" vertical="center"/>
    </xf>
    <xf numFmtId="3" fontId="29" fillId="5" borderId="6" xfId="17" applyNumberFormat="1" applyFont="1" applyFill="1" applyBorder="1" applyAlignment="1" applyProtection="1"/>
    <xf numFmtId="0" fontId="47" fillId="0" borderId="0" xfId="17" applyFont="1" applyFill="1" applyBorder="1" applyAlignment="1" applyProtection="1"/>
    <xf numFmtId="0" fontId="47" fillId="0" borderId="0" xfId="17" applyFont="1" applyFill="1" applyBorder="1" applyAlignment="1" applyProtection="1">
      <alignment horizontal="right" vertical="center"/>
    </xf>
    <xf numFmtId="0" fontId="21" fillId="0" borderId="0" xfId="17" applyFont="1" applyFill="1" applyBorder="1" applyAlignment="1" applyProtection="1">
      <alignment horizontal="center" vertical="center"/>
    </xf>
    <xf numFmtId="0" fontId="29" fillId="0" borderId="0" xfId="17" applyFont="1" applyFill="1" applyBorder="1" applyAlignment="1" applyProtection="1"/>
    <xf numFmtId="166" fontId="21" fillId="0" borderId="0" xfId="17" applyNumberFormat="1" applyFont="1" applyFill="1" applyBorder="1" applyAlignment="1" applyProtection="1">
      <alignment horizontal="center" vertical="center"/>
    </xf>
    <xf numFmtId="166" fontId="47" fillId="0" borderId="0" xfId="17" applyNumberFormat="1" applyFont="1" applyFill="1" applyBorder="1" applyAlignment="1" applyProtection="1">
      <alignment vertical="center"/>
    </xf>
    <xf numFmtId="43" fontId="0" fillId="0" borderId="0" xfId="0" applyNumberFormat="1" applyFont="1" applyBorder="1" applyProtection="1"/>
    <xf numFmtId="43" fontId="0" fillId="0" borderId="0" xfId="0" applyNumberFormat="1" applyFont="1" applyProtection="1"/>
    <xf numFmtId="9" fontId="21" fillId="0" borderId="0" xfId="19" applyFont="1" applyProtection="1"/>
    <xf numFmtId="0" fontId="29" fillId="0" borderId="12" xfId="17" applyFont="1" applyFill="1" applyBorder="1" applyAlignment="1" applyProtection="1"/>
    <xf numFmtId="166" fontId="48" fillId="0" borderId="13" xfId="2" applyNumberFormat="1" applyFont="1" applyFill="1" applyBorder="1" applyAlignment="1" applyProtection="1">
      <alignment horizontal="right"/>
    </xf>
    <xf numFmtId="166" fontId="48" fillId="0" borderId="3" xfId="2" applyNumberFormat="1" applyFont="1" applyFill="1" applyBorder="1" applyAlignment="1" applyProtection="1">
      <alignment horizontal="left"/>
    </xf>
    <xf numFmtId="166" fontId="48" fillId="0" borderId="0" xfId="2" applyNumberFormat="1" applyFont="1" applyFill="1" applyBorder="1" applyAlignment="1" applyProtection="1">
      <alignment horizontal="left"/>
    </xf>
    <xf numFmtId="43" fontId="48" fillId="8" borderId="11" xfId="2" applyNumberFormat="1" applyFont="1" applyFill="1" applyBorder="1" applyAlignment="1" applyProtection="1">
      <alignment horizontal="left"/>
    </xf>
    <xf numFmtId="3" fontId="48" fillId="0" borderId="11" xfId="1" applyNumberFormat="1" applyFont="1" applyFill="1" applyBorder="1" applyAlignment="1" applyProtection="1">
      <alignment horizontal="left"/>
    </xf>
    <xf numFmtId="166" fontId="21" fillId="0" borderId="11" xfId="2" applyNumberFormat="1" applyFont="1" applyBorder="1" applyAlignment="1" applyProtection="1">
      <alignment horizontal="left"/>
    </xf>
    <xf numFmtId="3" fontId="48" fillId="0" borderId="11" xfId="1" applyNumberFormat="1" applyFont="1" applyFill="1" applyBorder="1" applyAlignment="1" applyProtection="1">
      <alignment horizontal="center"/>
    </xf>
    <xf numFmtId="0" fontId="29" fillId="0" borderId="3" xfId="17" applyFont="1" applyFill="1" applyBorder="1" applyAlignment="1" applyProtection="1">
      <alignment horizontal="left" indent="2"/>
    </xf>
    <xf numFmtId="166" fontId="48" fillId="0" borderId="11" xfId="2" applyNumberFormat="1" applyFont="1" applyFill="1" applyBorder="1" applyAlignment="1" applyProtection="1">
      <alignment horizontal="left"/>
    </xf>
    <xf numFmtId="0" fontId="29" fillId="0" borderId="7" xfId="17" applyFont="1" applyFill="1" applyBorder="1" applyAlignment="1" applyProtection="1"/>
    <xf numFmtId="43" fontId="48" fillId="0" borderId="6" xfId="2" applyNumberFormat="1" applyFont="1" applyFill="1" applyBorder="1" applyAlignment="1" applyProtection="1">
      <alignment horizontal="left"/>
    </xf>
    <xf numFmtId="166" fontId="48" fillId="0" borderId="7" xfId="2" applyNumberFormat="1" applyFont="1" applyFill="1" applyBorder="1" applyAlignment="1" applyProtection="1">
      <alignment horizontal="left"/>
    </xf>
    <xf numFmtId="166" fontId="48" fillId="0" borderId="8" xfId="2" applyNumberFormat="1" applyFont="1" applyFill="1" applyBorder="1" applyAlignment="1" applyProtection="1">
      <alignment horizontal="left"/>
    </xf>
    <xf numFmtId="3" fontId="48" fillId="0" borderId="6" xfId="1" applyNumberFormat="1" applyFont="1" applyFill="1" applyBorder="1" applyAlignment="1" applyProtection="1">
      <alignment horizontal="left"/>
    </xf>
    <xf numFmtId="0" fontId="29" fillId="0" borderId="18" xfId="17" applyFont="1" applyFill="1" applyBorder="1" applyAlignment="1" applyProtection="1"/>
    <xf numFmtId="9" fontId="48" fillId="0" borderId="24" xfId="19" applyFont="1" applyFill="1" applyBorder="1" applyAlignment="1" applyProtection="1">
      <alignment horizontal="right"/>
    </xf>
    <xf numFmtId="173" fontId="48" fillId="0" borderId="0" xfId="19" quotePrefix="1" applyNumberFormat="1" applyFont="1" applyFill="1" applyBorder="1" applyAlignment="1" applyProtection="1">
      <alignment horizontal="center"/>
    </xf>
    <xf numFmtId="173" fontId="48" fillId="0" borderId="0" xfId="19" applyNumberFormat="1" applyFont="1" applyFill="1" applyBorder="1" applyAlignment="1" applyProtection="1">
      <alignment horizontal="center"/>
    </xf>
    <xf numFmtId="3" fontId="48" fillId="0" borderId="0" xfId="1" applyNumberFormat="1" applyFont="1" applyFill="1" applyBorder="1" applyAlignment="1" applyProtection="1">
      <alignment horizontal="left"/>
    </xf>
    <xf numFmtId="170" fontId="48" fillId="0" borderId="0" xfId="1" applyNumberFormat="1" applyFont="1" applyFill="1" applyBorder="1" applyAlignment="1" applyProtection="1">
      <alignment horizontal="right"/>
    </xf>
    <xf numFmtId="3" fontId="48" fillId="0" borderId="0" xfId="1" applyNumberFormat="1" applyFont="1" applyFill="1" applyBorder="1" applyAlignment="1" applyProtection="1">
      <alignment horizontal="center"/>
    </xf>
    <xf numFmtId="3" fontId="48" fillId="0" borderId="0" xfId="1" applyNumberFormat="1" applyFont="1" applyFill="1" applyAlignment="1" applyProtection="1">
      <alignment horizontal="center"/>
    </xf>
    <xf numFmtId="0" fontId="23" fillId="4" borderId="134" xfId="17" applyFont="1" applyFill="1" applyBorder="1" applyAlignment="1" applyProtection="1">
      <alignment horizontal="center"/>
    </xf>
    <xf numFmtId="0" fontId="23" fillId="4" borderId="81" xfId="17" applyFont="1" applyFill="1" applyBorder="1" applyAlignment="1" applyProtection="1">
      <alignment horizontal="center"/>
    </xf>
    <xf numFmtId="0" fontId="23" fillId="4" borderId="22" xfId="17" applyFont="1" applyFill="1" applyBorder="1" applyAlignment="1" applyProtection="1">
      <alignment horizontal="center"/>
    </xf>
    <xf numFmtId="0" fontId="47" fillId="0" borderId="0" xfId="17" applyFont="1" applyFill="1" applyBorder="1" applyAlignment="1" applyProtection="1">
      <alignment horizontal="center"/>
    </xf>
    <xf numFmtId="166" fontId="25" fillId="0" borderId="5" xfId="2" applyNumberFormat="1" applyFont="1" applyFill="1" applyBorder="1" applyAlignment="1" applyProtection="1">
      <alignment horizontal="left" vertical="center"/>
    </xf>
    <xf numFmtId="0" fontId="29" fillId="0" borderId="3" xfId="17" applyFont="1" applyFill="1" applyBorder="1" applyAlignment="1" applyProtection="1">
      <alignment horizontal="left"/>
    </xf>
    <xf numFmtId="43" fontId="25" fillId="0" borderId="0" xfId="2" applyNumberFormat="1" applyFont="1" applyFill="1" applyBorder="1" applyAlignment="1" applyProtection="1">
      <alignment horizontal="left" vertical="center"/>
    </xf>
    <xf numFmtId="0" fontId="29" fillId="0" borderId="0" xfId="17" applyFont="1" applyFill="1" applyBorder="1" applyAlignment="1" applyProtection="1">
      <alignment horizontal="left" indent="1"/>
    </xf>
    <xf numFmtId="3" fontId="49" fillId="0" borderId="0" xfId="1" applyNumberFormat="1" applyFont="1" applyFill="1" applyBorder="1" applyAlignment="1" applyProtection="1">
      <alignment horizontal="center"/>
    </xf>
    <xf numFmtId="169" fontId="48" fillId="0" borderId="0" xfId="1" applyNumberFormat="1" applyFont="1" applyFill="1" applyBorder="1" applyAlignment="1" applyProtection="1">
      <alignment horizontal="center"/>
    </xf>
    <xf numFmtId="10" fontId="25" fillId="0" borderId="0" xfId="19" applyNumberFormat="1" applyFont="1" applyFill="1" applyBorder="1" applyAlignment="1" applyProtection="1">
      <alignment horizontal="right" vertical="center"/>
    </xf>
    <xf numFmtId="10" fontId="48" fillId="0" borderId="0" xfId="19" applyNumberFormat="1" applyFont="1" applyFill="1" applyBorder="1" applyAlignment="1" applyProtection="1">
      <alignment horizontal="center"/>
    </xf>
    <xf numFmtId="10" fontId="49" fillId="0" borderId="0" xfId="19" applyNumberFormat="1" applyFont="1" applyFill="1" applyBorder="1" applyAlignment="1" applyProtection="1">
      <alignment horizontal="center"/>
    </xf>
    <xf numFmtId="176" fontId="29" fillId="0" borderId="0" xfId="17" applyNumberFormat="1" applyFont="1" applyFill="1" applyBorder="1" applyAlignment="1" applyProtection="1"/>
    <xf numFmtId="166" fontId="29" fillId="0" borderId="0" xfId="2" applyNumberFormat="1" applyFont="1" applyFill="1" applyBorder="1" applyAlignment="1" applyProtection="1">
      <alignment horizontal="left" vertical="center"/>
    </xf>
    <xf numFmtId="9" fontId="29" fillId="0" borderId="0" xfId="19" applyFont="1" applyFill="1" applyBorder="1" applyAlignment="1" applyProtection="1"/>
    <xf numFmtId="43" fontId="49" fillId="0" borderId="0" xfId="19" applyNumberFormat="1" applyFont="1" applyFill="1" applyBorder="1" applyAlignment="1" applyProtection="1">
      <alignment horizontal="center"/>
    </xf>
    <xf numFmtId="0" fontId="21" fillId="0" borderId="3" xfId="17" applyFont="1" applyFill="1" applyBorder="1" applyAlignment="1" applyProtection="1"/>
    <xf numFmtId="43" fontId="48" fillId="8" borderId="0" xfId="2" applyNumberFormat="1" applyFont="1" applyFill="1" applyBorder="1" applyAlignment="1" applyProtection="1">
      <alignment horizontal="left"/>
    </xf>
    <xf numFmtId="166" fontId="49" fillId="0" borderId="0" xfId="2" applyNumberFormat="1" applyFont="1" applyFill="1" applyBorder="1" applyAlignment="1" applyProtection="1">
      <alignment horizontal="center"/>
    </xf>
    <xf numFmtId="174" fontId="21" fillId="6" borderId="0" xfId="19" applyNumberFormat="1" applyFont="1" applyFill="1" applyBorder="1" applyAlignment="1" applyProtection="1">
      <alignment horizontal="right" vertical="center"/>
    </xf>
    <xf numFmtId="166" fontId="0" fillId="0" borderId="0" xfId="2" applyNumberFormat="1" applyFont="1" applyBorder="1" applyProtection="1"/>
    <xf numFmtId="166" fontId="0" fillId="0" borderId="0" xfId="0" applyNumberFormat="1" applyFont="1" applyFill="1" applyBorder="1" applyProtection="1"/>
    <xf numFmtId="0" fontId="22" fillId="0" borderId="0" xfId="0" applyFont="1" applyProtection="1"/>
    <xf numFmtId="10" fontId="0" fillId="0" borderId="0" xfId="19" applyNumberFormat="1" applyFont="1" applyBorder="1" applyProtection="1"/>
    <xf numFmtId="0" fontId="29" fillId="0" borderId="2" xfId="0" applyFont="1" applyBorder="1" applyProtection="1"/>
    <xf numFmtId="0" fontId="29" fillId="0" borderId="0" xfId="0" applyFont="1" applyBorder="1" applyProtection="1"/>
    <xf numFmtId="0" fontId="29" fillId="0" borderId="0" xfId="0" applyFont="1" applyProtection="1"/>
    <xf numFmtId="165" fontId="22" fillId="0" borderId="0" xfId="0" applyNumberFormat="1" applyFont="1" applyProtection="1"/>
    <xf numFmtId="43" fontId="0" fillId="0" borderId="0" xfId="0" applyNumberFormat="1" applyFont="1" applyFill="1" applyBorder="1" applyProtection="1"/>
    <xf numFmtId="10" fontId="0" fillId="0" borderId="8" xfId="19" applyNumberFormat="1" applyFont="1" applyBorder="1" applyProtection="1"/>
    <xf numFmtId="0" fontId="0" fillId="0" borderId="9" xfId="0" applyFont="1" applyFill="1" applyBorder="1" applyProtection="1"/>
    <xf numFmtId="165" fontId="0" fillId="0" borderId="0" xfId="0" applyNumberFormat="1" applyFont="1" applyFill="1" applyBorder="1" applyAlignment="1" applyProtection="1">
      <alignment horizontal="center"/>
    </xf>
    <xf numFmtId="165" fontId="0" fillId="0" borderId="0" xfId="0" applyNumberFormat="1" applyFont="1" applyProtection="1"/>
    <xf numFmtId="165" fontId="0" fillId="0" borderId="0" xfId="0" applyNumberFormat="1" applyFont="1" applyBorder="1" applyProtection="1"/>
    <xf numFmtId="0" fontId="23" fillId="4" borderId="0" xfId="0" applyFont="1" applyFill="1" applyBorder="1" applyAlignment="1" applyProtection="1">
      <alignment horizontal="left" vertical="center"/>
    </xf>
    <xf numFmtId="0" fontId="47" fillId="0" borderId="0" xfId="17" applyFont="1" applyFill="1" applyBorder="1" applyAlignment="1" applyProtection="1">
      <alignment horizontal="left" vertical="center" wrapText="1"/>
    </xf>
    <xf numFmtId="0" fontId="47" fillId="0" borderId="0" xfId="17" applyFont="1" applyFill="1" applyBorder="1" applyAlignment="1" applyProtection="1">
      <alignment horizontal="center" vertical="center" wrapText="1"/>
    </xf>
    <xf numFmtId="0" fontId="47" fillId="0" borderId="0" xfId="17" applyFont="1" applyFill="1" applyBorder="1" applyAlignment="1" applyProtection="1">
      <alignment horizontal="right" vertical="center" wrapText="1"/>
    </xf>
    <xf numFmtId="0" fontId="26" fillId="6" borderId="0" xfId="0" applyFont="1" applyFill="1" applyProtection="1"/>
    <xf numFmtId="0" fontId="0" fillId="6" borderId="0" xfId="0" applyFont="1" applyFill="1" applyProtection="1"/>
    <xf numFmtId="0" fontId="0" fillId="0" borderId="0" xfId="0" applyFont="1" applyFill="1" applyProtection="1"/>
    <xf numFmtId="166" fontId="0" fillId="0" borderId="0" xfId="0" applyNumberFormat="1" applyFont="1" applyBorder="1" applyProtection="1"/>
    <xf numFmtId="0" fontId="54" fillId="6" borderId="0" xfId="0" applyFont="1" applyFill="1" applyProtection="1"/>
    <xf numFmtId="0" fontId="54" fillId="6" borderId="0" xfId="0" applyFont="1" applyFill="1" applyAlignment="1" applyProtection="1">
      <alignment wrapText="1"/>
    </xf>
    <xf numFmtId="0" fontId="54" fillId="0" borderId="0" xfId="0" applyFont="1" applyFill="1" applyProtection="1"/>
    <xf numFmtId="166" fontId="0" fillId="0" borderId="0" xfId="0" applyNumberFormat="1" applyFont="1" applyProtection="1"/>
    <xf numFmtId="166" fontId="21" fillId="0" borderId="0" xfId="2" applyNumberFormat="1" applyFont="1" applyProtection="1"/>
    <xf numFmtId="166" fontId="21" fillId="6" borderId="0" xfId="2" applyNumberFormat="1" applyFont="1" applyFill="1" applyProtection="1"/>
    <xf numFmtId="43" fontId="0" fillId="6" borderId="0" xfId="0" applyNumberFormat="1" applyFont="1" applyFill="1" applyProtection="1"/>
    <xf numFmtId="166" fontId="0" fillId="6" borderId="0" xfId="0" applyNumberFormat="1" applyFont="1" applyFill="1" applyProtection="1"/>
    <xf numFmtId="43" fontId="21" fillId="0" borderId="0" xfId="2" applyFont="1" applyFill="1" applyProtection="1"/>
    <xf numFmtId="43" fontId="0" fillId="0" borderId="0" xfId="0" applyNumberFormat="1" applyFont="1" applyFill="1" applyProtection="1"/>
    <xf numFmtId="3" fontId="0" fillId="6" borderId="0" xfId="0" applyNumberFormat="1" applyFont="1" applyFill="1" applyProtection="1"/>
    <xf numFmtId="9" fontId="21" fillId="6" borderId="0" xfId="19" applyFont="1" applyFill="1" applyProtection="1"/>
    <xf numFmtId="2" fontId="0" fillId="6" borderId="0" xfId="0" applyNumberFormat="1" applyFont="1" applyFill="1" applyProtection="1"/>
    <xf numFmtId="164" fontId="47" fillId="0" borderId="0" xfId="0" applyNumberFormat="1" applyFont="1" applyFill="1" applyAlignment="1" applyProtection="1">
      <alignment horizontal="right" vertical="center"/>
    </xf>
    <xf numFmtId="0" fontId="47" fillId="0" borderId="1" xfId="17" applyFont="1" applyFill="1" applyBorder="1" applyAlignment="1" applyProtection="1">
      <alignment vertical="center"/>
    </xf>
    <xf numFmtId="43" fontId="21" fillId="0" borderId="0" xfId="2" applyNumberFormat="1" applyFont="1" applyBorder="1" applyProtection="1"/>
    <xf numFmtId="0" fontId="29" fillId="0" borderId="11" xfId="17" applyFont="1" applyFill="1" applyBorder="1" applyAlignment="1" applyProtection="1">
      <alignment horizontal="right" vertical="center"/>
    </xf>
    <xf numFmtId="0" fontId="47" fillId="0" borderId="11" xfId="14" applyFont="1" applyFill="1" applyBorder="1" applyAlignment="1" applyProtection="1">
      <alignment wrapText="1"/>
    </xf>
    <xf numFmtId="3" fontId="52" fillId="0" borderId="3" xfId="1" applyNumberFormat="1" applyFont="1" applyFill="1" applyBorder="1" applyAlignment="1" applyProtection="1">
      <alignment horizontal="center"/>
    </xf>
    <xf numFmtId="3" fontId="47" fillId="0" borderId="2" xfId="17" applyNumberFormat="1" applyFont="1" applyFill="1" applyBorder="1" applyAlignment="1" applyProtection="1"/>
    <xf numFmtId="3" fontId="48" fillId="0" borderId="3" xfId="1" applyNumberFormat="1" applyFont="1" applyFill="1" applyBorder="1" applyAlignment="1" applyProtection="1"/>
    <xf numFmtId="3" fontId="48" fillId="0" borderId="0" xfId="1" applyNumberFormat="1" applyFont="1" applyFill="1" applyBorder="1" applyAlignment="1" applyProtection="1"/>
    <xf numFmtId="3" fontId="48" fillId="0" borderId="0" xfId="1" applyNumberFormat="1" applyFont="1" applyFill="1" applyBorder="1" applyAlignment="1" applyProtection="1">
      <alignment horizontal="right"/>
    </xf>
    <xf numFmtId="0" fontId="23" fillId="4" borderId="134" xfId="17" applyFont="1" applyFill="1" applyBorder="1" applyAlignment="1" applyProtection="1">
      <alignment horizontal="left"/>
    </xf>
    <xf numFmtId="168" fontId="53" fillId="0" borderId="0" xfId="1" applyNumberFormat="1" applyFont="1" applyFill="1" applyBorder="1" applyAlignment="1" applyProtection="1">
      <alignment horizontal="center"/>
    </xf>
    <xf numFmtId="168" fontId="48" fillId="0" borderId="0" xfId="1" applyNumberFormat="1" applyFont="1" applyFill="1" applyBorder="1" applyAlignment="1" applyProtection="1">
      <alignment horizontal="center"/>
    </xf>
    <xf numFmtId="166" fontId="25" fillId="0" borderId="0" xfId="2" applyNumberFormat="1" applyFont="1" applyFill="1" applyBorder="1" applyAlignment="1" applyProtection="1">
      <alignment horizontal="left" vertical="center"/>
    </xf>
    <xf numFmtId="166" fontId="21" fillId="0" borderId="0" xfId="2" applyNumberFormat="1" applyFont="1" applyFill="1" applyBorder="1" applyAlignment="1" applyProtection="1">
      <alignment horizontal="center"/>
    </xf>
    <xf numFmtId="175" fontId="0" fillId="0" borderId="0" xfId="0" applyNumberFormat="1" applyFont="1" applyProtection="1"/>
    <xf numFmtId="0" fontId="51" fillId="0" borderId="0" xfId="1" quotePrefix="1" applyFont="1" applyFill="1" applyBorder="1" applyAlignment="1" applyProtection="1">
      <alignment vertical="center"/>
    </xf>
    <xf numFmtId="166" fontId="21" fillId="0" borderId="3" xfId="2" applyNumberFormat="1" applyFont="1" applyFill="1" applyBorder="1" applyAlignment="1" applyProtection="1">
      <alignment horizontal="left" vertical="center"/>
    </xf>
    <xf numFmtId="166" fontId="21" fillId="5" borderId="3" xfId="2" applyNumberFormat="1" applyFont="1" applyFill="1" applyBorder="1" applyAlignment="1" applyProtection="1">
      <alignment horizontal="left" vertical="center"/>
    </xf>
    <xf numFmtId="166" fontId="21" fillId="5" borderId="7" xfId="2" applyNumberFormat="1" applyFont="1" applyFill="1" applyBorder="1" applyAlignment="1" applyProtection="1">
      <alignment horizontal="left" vertical="center"/>
    </xf>
    <xf numFmtId="0" fontId="47" fillId="0" borderId="0" xfId="14" applyFont="1" applyFill="1" applyBorder="1" applyAlignment="1" applyProtection="1">
      <alignment wrapText="1"/>
    </xf>
    <xf numFmtId="3" fontId="52" fillId="0" borderId="0" xfId="1" applyNumberFormat="1" applyFont="1" applyFill="1" applyBorder="1" applyAlignment="1" applyProtection="1">
      <alignment horizontal="center"/>
    </xf>
    <xf numFmtId="3" fontId="47" fillId="0" borderId="0" xfId="17" applyNumberFormat="1" applyFont="1" applyFill="1" applyBorder="1" applyAlignment="1" applyProtection="1"/>
    <xf numFmtId="3" fontId="53" fillId="0" borderId="0" xfId="1" applyNumberFormat="1" applyFont="1" applyFill="1" applyBorder="1" applyAlignment="1" applyProtection="1">
      <alignment horizontal="center"/>
    </xf>
    <xf numFmtId="9" fontId="21" fillId="6" borderId="0" xfId="19" applyFont="1" applyFill="1" applyBorder="1" applyAlignment="1" applyProtection="1">
      <alignment horizontal="right" vertical="center"/>
    </xf>
    <xf numFmtId="0" fontId="22" fillId="0" borderId="0" xfId="0" applyFont="1" applyBorder="1" applyProtection="1"/>
    <xf numFmtId="0" fontId="46" fillId="0" borderId="0" xfId="0" applyFont="1" applyAlignment="1" applyProtection="1"/>
    <xf numFmtId="0" fontId="30" fillId="0" borderId="0" xfId="17" applyFont="1" applyFill="1" applyAlignment="1" applyProtection="1">
      <alignment vertical="center" wrapText="1"/>
    </xf>
    <xf numFmtId="0" fontId="30" fillId="0" borderId="0" xfId="17" applyFont="1" applyFill="1" applyAlignment="1" applyProtection="1">
      <alignment vertical="center"/>
    </xf>
    <xf numFmtId="0" fontId="32" fillId="0" borderId="0" xfId="17" applyFont="1" applyFill="1" applyAlignment="1" applyProtection="1">
      <alignment horizontal="right" vertical="center"/>
    </xf>
    <xf numFmtId="0" fontId="31" fillId="0" borderId="0" xfId="0" applyFont="1" applyProtection="1"/>
    <xf numFmtId="164" fontId="33" fillId="0" borderId="0" xfId="0" applyNumberFormat="1" applyFont="1" applyAlignment="1" applyProtection="1">
      <alignment vertical="center"/>
    </xf>
    <xf numFmtId="0" fontId="30" fillId="0" borderId="0" xfId="17" applyFont="1" applyFill="1" applyBorder="1" applyAlignment="1" applyProtection="1">
      <alignment vertical="center"/>
    </xf>
    <xf numFmtId="0" fontId="32" fillId="0" borderId="0" xfId="17" applyFont="1" applyFill="1" applyBorder="1" applyAlignment="1" applyProtection="1">
      <alignment vertical="center"/>
    </xf>
    <xf numFmtId="164" fontId="30" fillId="0" borderId="0" xfId="0" applyNumberFormat="1" applyFont="1" applyFill="1" applyBorder="1" applyAlignment="1" applyProtection="1">
      <alignment horizontal="right" vertical="center"/>
    </xf>
    <xf numFmtId="0" fontId="31" fillId="0" borderId="0" xfId="0" applyFont="1" applyBorder="1" applyProtection="1"/>
    <xf numFmtId="0" fontId="30" fillId="0" borderId="1" xfId="17" applyFont="1" applyFill="1" applyBorder="1" applyAlignment="1" applyProtection="1">
      <alignment vertical="center"/>
    </xf>
    <xf numFmtId="3" fontId="30" fillId="0" borderId="0" xfId="13" applyNumberFormat="1" applyFont="1" applyFill="1" applyBorder="1" applyAlignment="1" applyProtection="1">
      <alignment horizontal="right" vertical="center"/>
    </xf>
    <xf numFmtId="0" fontId="55" fillId="4" borderId="12" xfId="17" applyFont="1" applyFill="1" applyBorder="1" applyAlignment="1" applyProtection="1">
      <alignment horizontal="center" vertical="center" wrapText="1"/>
    </xf>
    <xf numFmtId="165" fontId="47" fillId="0" borderId="0" xfId="17" applyNumberFormat="1" applyFont="1" applyFill="1" applyBorder="1" applyAlignment="1" applyProtection="1">
      <alignment horizontal="right" vertical="center"/>
    </xf>
    <xf numFmtId="0" fontId="26" fillId="0" borderId="0" xfId="17" applyFont="1" applyFill="1" applyBorder="1" applyAlignment="1" applyProtection="1">
      <alignment horizontal="center" vertical="center"/>
    </xf>
    <xf numFmtId="1" fontId="26" fillId="0" borderId="0" xfId="17" applyNumberFormat="1" applyFont="1" applyFill="1" applyBorder="1" applyAlignment="1" applyProtection="1">
      <alignment horizontal="center" vertical="center"/>
    </xf>
    <xf numFmtId="0" fontId="23" fillId="4" borderId="0" xfId="0" applyFont="1" applyFill="1" applyBorder="1" applyAlignment="1" applyProtection="1">
      <alignment vertical="center"/>
    </xf>
    <xf numFmtId="0" fontId="23" fillId="0" borderId="0" xfId="0" applyFont="1" applyFill="1" applyBorder="1" applyAlignment="1" applyProtection="1">
      <alignment vertical="center"/>
    </xf>
    <xf numFmtId="171" fontId="0" fillId="6" borderId="0" xfId="0" applyNumberFormat="1" applyFont="1" applyFill="1" applyProtection="1"/>
    <xf numFmtId="0" fontId="58" fillId="6" borderId="0" xfId="0" applyFont="1" applyFill="1" applyProtection="1"/>
    <xf numFmtId="0" fontId="0" fillId="0" borderId="0" xfId="0" applyProtection="1"/>
    <xf numFmtId="0" fontId="47" fillId="0" borderId="3" xfId="14" applyFont="1" applyFill="1" applyBorder="1" applyAlignment="1" applyProtection="1">
      <alignment wrapText="1"/>
    </xf>
    <xf numFmtId="10" fontId="21" fillId="6" borderId="0" xfId="19" applyNumberFormat="1" applyFont="1" applyFill="1" applyBorder="1" applyAlignment="1" applyProtection="1">
      <alignment horizontal="right" vertical="center"/>
    </xf>
    <xf numFmtId="0" fontId="3" fillId="0" borderId="0" xfId="17" applyFont="1" applyFill="1" applyAlignment="1" applyProtection="1">
      <alignment vertical="center"/>
    </xf>
    <xf numFmtId="0" fontId="3" fillId="0" borderId="0" xfId="17" applyFont="1" applyFill="1" applyAlignment="1" applyProtection="1">
      <alignment vertical="center" wrapText="1"/>
    </xf>
    <xf numFmtId="0" fontId="4" fillId="0" borderId="0" xfId="17" applyFont="1" applyFill="1" applyAlignment="1" applyProtection="1">
      <alignment horizontal="right" vertical="center"/>
    </xf>
    <xf numFmtId="164" fontId="27" fillId="0" borderId="0" xfId="0" applyNumberFormat="1" applyFont="1" applyAlignment="1" applyProtection="1">
      <alignment vertical="center"/>
    </xf>
    <xf numFmtId="0" fontId="3" fillId="0" borderId="0" xfId="17" applyFont="1" applyFill="1" applyBorder="1" applyAlignment="1" applyProtection="1">
      <alignment vertical="center"/>
    </xf>
    <xf numFmtId="0" fontId="2" fillId="0" borderId="0" xfId="17" applyFont="1" applyFill="1" applyBorder="1" applyAlignment="1" applyProtection="1">
      <alignment vertical="center"/>
    </xf>
    <xf numFmtId="164" fontId="1" fillId="0" borderId="0" xfId="0" applyNumberFormat="1" applyFont="1" applyFill="1" applyAlignment="1" applyProtection="1">
      <alignment horizontal="right" vertical="center"/>
    </xf>
    <xf numFmtId="0" fontId="1" fillId="0" borderId="0" xfId="13" applyFont="1" applyFill="1" applyBorder="1" applyAlignment="1" applyProtection="1">
      <alignment vertical="center"/>
    </xf>
    <xf numFmtId="0" fontId="1" fillId="0" borderId="0" xfId="17" applyFont="1" applyFill="1" applyBorder="1" applyAlignment="1" applyProtection="1">
      <alignment vertical="center"/>
    </xf>
    <xf numFmtId="3" fontId="1" fillId="0" borderId="0" xfId="13" applyNumberFormat="1" applyFont="1" applyFill="1" applyBorder="1" applyAlignment="1" applyProtection="1">
      <alignment horizontal="right" vertical="center"/>
    </xf>
    <xf numFmtId="0" fontId="1" fillId="0" borderId="5" xfId="17" applyFont="1" applyFill="1" applyBorder="1" applyAlignment="1" applyProtection="1">
      <alignment horizontal="right" vertical="center" wrapText="1"/>
    </xf>
    <xf numFmtId="0" fontId="4" fillId="0" borderId="1" xfId="17" applyFont="1" applyFill="1" applyBorder="1" applyAlignment="1" applyProtection="1">
      <alignment horizontal="right" vertical="center" wrapText="1"/>
    </xf>
    <xf numFmtId="0" fontId="1" fillId="0" borderId="10" xfId="17" applyFont="1" applyBorder="1" applyAlignment="1" applyProtection="1">
      <alignment horizontal="right" vertical="center" wrapText="1"/>
    </xf>
    <xf numFmtId="0" fontId="1" fillId="0" borderId="1" xfId="17" applyFont="1" applyBorder="1" applyAlignment="1" applyProtection="1">
      <alignment horizontal="right" vertical="center" wrapText="1"/>
    </xf>
    <xf numFmtId="0" fontId="1" fillId="0" borderId="4" xfId="16" applyFont="1" applyFill="1" applyBorder="1" applyAlignment="1" applyProtection="1">
      <alignment horizontal="right" vertical="center" wrapText="1"/>
    </xf>
    <xf numFmtId="0" fontId="1" fillId="0" borderId="3" xfId="17" applyFont="1" applyFill="1" applyBorder="1" applyAlignment="1" applyProtection="1">
      <alignment vertical="center"/>
    </xf>
    <xf numFmtId="0" fontId="1" fillId="0" borderId="0" xfId="17" applyFont="1" applyFill="1" applyBorder="1" applyAlignment="1" applyProtection="1">
      <alignment horizontal="right" vertical="center"/>
    </xf>
    <xf numFmtId="0" fontId="1" fillId="0" borderId="3" xfId="17" applyFont="1" applyFill="1" applyBorder="1" applyAlignment="1" applyProtection="1">
      <alignment horizontal="right" vertical="center"/>
    </xf>
    <xf numFmtId="0" fontId="1" fillId="0" borderId="2" xfId="17" applyFont="1" applyFill="1" applyBorder="1" applyAlignment="1" applyProtection="1">
      <alignment vertical="center"/>
    </xf>
    <xf numFmtId="0" fontId="1" fillId="0" borderId="3" xfId="14" applyFont="1" applyFill="1" applyBorder="1" applyAlignment="1" applyProtection="1">
      <alignment wrapText="1"/>
    </xf>
    <xf numFmtId="3" fontId="38" fillId="0" borderId="0" xfId="1" applyNumberFormat="1" applyFont="1" applyFill="1" applyBorder="1" applyAlignment="1" applyProtection="1"/>
    <xf numFmtId="3" fontId="38" fillId="0" borderId="3" xfId="1" applyNumberFormat="1" applyFont="1" applyFill="1" applyBorder="1" applyAlignment="1" applyProtection="1"/>
    <xf numFmtId="3" fontId="38" fillId="0" borderId="2" xfId="1" applyNumberFormat="1" applyFont="1" applyFill="1" applyBorder="1" applyAlignment="1" applyProtection="1"/>
    <xf numFmtId="0" fontId="4" fillId="0" borderId="3" xfId="17" applyFont="1" applyFill="1" applyBorder="1" applyAlignment="1" applyProtection="1"/>
    <xf numFmtId="9" fontId="4" fillId="0" borderId="0" xfId="19" applyFont="1" applyFill="1" applyBorder="1" applyAlignment="1" applyProtection="1"/>
    <xf numFmtId="3" fontId="28" fillId="0" borderId="0" xfId="1" applyNumberFormat="1" applyFont="1" applyFill="1" applyBorder="1" applyAlignment="1" applyProtection="1"/>
    <xf numFmtId="3" fontId="28" fillId="0" borderId="3" xfId="1" applyNumberFormat="1" applyFont="1" applyFill="1" applyBorder="1" applyAlignment="1" applyProtection="1"/>
    <xf numFmtId="3" fontId="28" fillId="0" borderId="2" xfId="1" applyNumberFormat="1" applyFont="1" applyFill="1" applyBorder="1" applyAlignment="1" applyProtection="1"/>
    <xf numFmtId="3" fontId="39" fillId="2" borderId="0" xfId="1" applyNumberFormat="1" applyFont="1" applyFill="1" applyBorder="1" applyAlignment="1" applyProtection="1"/>
    <xf numFmtId="3" fontId="28" fillId="3" borderId="3" xfId="1" applyNumberFormat="1" applyFont="1" applyFill="1" applyBorder="1" applyAlignment="1" applyProtection="1"/>
    <xf numFmtId="3" fontId="28" fillId="3" borderId="0" xfId="1" applyNumberFormat="1" applyFont="1" applyFill="1" applyBorder="1" applyAlignment="1" applyProtection="1"/>
    <xf numFmtId="3" fontId="4" fillId="0" borderId="3" xfId="17" applyNumberFormat="1" applyFont="1" applyFill="1" applyBorder="1" applyAlignment="1" applyProtection="1"/>
    <xf numFmtId="3" fontId="4" fillId="0" borderId="2" xfId="17" applyNumberFormat="1" applyFont="1" applyFill="1" applyBorder="1" applyAlignment="1" applyProtection="1"/>
    <xf numFmtId="0" fontId="4" fillId="0" borderId="3" xfId="17" applyFont="1" applyBorder="1" applyAlignment="1" applyProtection="1"/>
    <xf numFmtId="0" fontId="1" fillId="0" borderId="3" xfId="17" applyFont="1" applyFill="1" applyBorder="1" applyAlignment="1" applyProtection="1"/>
    <xf numFmtId="0" fontId="4" fillId="0" borderId="7" xfId="17" applyFont="1" applyBorder="1" applyAlignment="1" applyProtection="1">
      <alignment vertical="center"/>
    </xf>
    <xf numFmtId="3" fontId="4" fillId="0" borderId="8" xfId="17" applyNumberFormat="1" applyFont="1" applyFill="1" applyBorder="1" applyAlignment="1" applyProtection="1">
      <alignment horizontal="right" vertical="center"/>
    </xf>
    <xf numFmtId="3" fontId="4" fillId="0" borderId="7" xfId="17" applyNumberFormat="1" applyFont="1" applyFill="1" applyBorder="1" applyAlignment="1" applyProtection="1">
      <alignment horizontal="right" vertical="center"/>
    </xf>
    <xf numFmtId="3" fontId="4" fillId="0" borderId="8" xfId="17" applyNumberFormat="1" applyFont="1" applyFill="1" applyBorder="1" applyAlignment="1" applyProtection="1">
      <alignment vertical="center"/>
    </xf>
    <xf numFmtId="3" fontId="4" fillId="0" borderId="9" xfId="17" applyNumberFormat="1" applyFont="1" applyFill="1" applyBorder="1" applyAlignment="1" applyProtection="1">
      <alignment vertical="center"/>
    </xf>
    <xf numFmtId="0" fontId="40" fillId="0" borderId="0" xfId="0" applyFont="1" applyFill="1" applyBorder="1" applyAlignment="1" applyProtection="1">
      <alignment vertical="center"/>
    </xf>
    <xf numFmtId="0" fontId="4" fillId="0" borderId="0" xfId="17" applyFont="1" applyFill="1" applyAlignment="1" applyProtection="1">
      <alignment vertical="center"/>
    </xf>
    <xf numFmtId="0" fontId="11" fillId="0" borderId="0" xfId="18" applyFont="1" applyAlignment="1" applyProtection="1">
      <alignment vertical="center"/>
    </xf>
    <xf numFmtId="3" fontId="11" fillId="0" borderId="0" xfId="18" applyNumberFormat="1" applyFont="1" applyFill="1" applyAlignment="1" applyProtection="1">
      <alignment vertical="center"/>
    </xf>
    <xf numFmtId="0" fontId="11" fillId="0" borderId="0" xfId="18" applyFont="1" applyFill="1" applyAlignment="1" applyProtection="1">
      <alignment vertical="center"/>
    </xf>
    <xf numFmtId="164" fontId="4" fillId="0" borderId="0" xfId="0" applyNumberFormat="1" applyFont="1" applyAlignment="1" applyProtection="1">
      <alignment vertical="center"/>
    </xf>
    <xf numFmtId="3" fontId="4" fillId="0" borderId="0" xfId="0" applyNumberFormat="1" applyFont="1" applyFill="1" applyAlignment="1" applyProtection="1">
      <alignment vertical="center"/>
    </xf>
    <xf numFmtId="164" fontId="11" fillId="0" borderId="0" xfId="0" applyNumberFormat="1" applyFont="1" applyFill="1" applyAlignment="1" applyProtection="1">
      <alignment vertical="center"/>
    </xf>
    <xf numFmtId="0" fontId="66" fillId="12" borderId="0" xfId="0" applyFont="1" applyFill="1" applyBorder="1" applyAlignment="1" applyProtection="1">
      <alignment vertical="center"/>
    </xf>
    <xf numFmtId="0" fontId="32" fillId="12" borderId="0" xfId="0" applyFont="1" applyFill="1" applyProtection="1"/>
    <xf numFmtId="0" fontId="32" fillId="12" borderId="0" xfId="0" applyFont="1" applyFill="1" applyBorder="1" applyProtection="1"/>
    <xf numFmtId="0" fontId="3" fillId="12" borderId="0" xfId="0" applyFont="1" applyFill="1" applyBorder="1" applyAlignment="1" applyProtection="1">
      <alignment vertical="center"/>
    </xf>
    <xf numFmtId="0" fontId="3" fillId="12" borderId="0" xfId="0" applyFont="1" applyFill="1" applyAlignment="1" applyProtection="1">
      <alignment horizontal="right"/>
    </xf>
    <xf numFmtId="0" fontId="3" fillId="12" borderId="0" xfId="0" applyFont="1" applyFill="1" applyBorder="1" applyAlignment="1" applyProtection="1"/>
    <xf numFmtId="0" fontId="3" fillId="12" borderId="0" xfId="0" applyFont="1" applyFill="1" applyBorder="1" applyProtection="1"/>
    <xf numFmtId="3" fontId="32" fillId="12" borderId="0" xfId="0" applyNumberFormat="1" applyFont="1" applyFill="1" applyProtection="1"/>
    <xf numFmtId="0" fontId="3" fillId="13" borderId="31" xfId="0" applyFont="1" applyFill="1" applyBorder="1" applyAlignment="1" applyProtection="1">
      <alignment horizontal="center"/>
    </xf>
    <xf numFmtId="0" fontId="3" fillId="12" borderId="0" xfId="0" applyFont="1" applyFill="1" applyBorder="1" applyAlignment="1" applyProtection="1">
      <alignment horizontal="center"/>
    </xf>
    <xf numFmtId="0" fontId="3" fillId="12" borderId="0" xfId="0" applyFont="1" applyFill="1" applyBorder="1" applyAlignment="1" applyProtection="1">
      <alignment horizontal="center" vertical="center" wrapText="1"/>
    </xf>
    <xf numFmtId="0" fontId="3" fillId="13" borderId="32" xfId="0" applyFont="1" applyFill="1" applyBorder="1" applyAlignment="1" applyProtection="1">
      <alignment horizontal="center" textRotation="90" wrapText="1"/>
    </xf>
    <xf numFmtId="0" fontId="3" fillId="13" borderId="33" xfId="0" applyFont="1" applyFill="1" applyBorder="1" applyAlignment="1" applyProtection="1">
      <alignment horizontal="center" textRotation="90" wrapText="1"/>
    </xf>
    <xf numFmtId="0" fontId="3" fillId="13" borderId="34" xfId="0" applyFont="1" applyFill="1" applyBorder="1" applyAlignment="1" applyProtection="1">
      <alignment horizontal="center" textRotation="90" wrapText="1"/>
    </xf>
    <xf numFmtId="0" fontId="3" fillId="12" borderId="0" xfId="0" applyFont="1" applyFill="1" applyBorder="1" applyAlignment="1" applyProtection="1">
      <alignment horizontal="center" vertical="center" textRotation="90" wrapText="1"/>
    </xf>
    <xf numFmtId="0" fontId="3" fillId="13" borderId="2" xfId="0" applyFont="1" applyFill="1" applyBorder="1" applyAlignment="1" applyProtection="1">
      <alignment horizontal="center" textRotation="90" wrapText="1"/>
    </xf>
    <xf numFmtId="0" fontId="3" fillId="13" borderId="11" xfId="0" applyFont="1" applyFill="1" applyBorder="1" applyAlignment="1" applyProtection="1">
      <alignment horizontal="center" textRotation="90" wrapText="1"/>
    </xf>
    <xf numFmtId="0" fontId="3" fillId="13" borderId="0" xfId="0" applyFont="1" applyFill="1" applyBorder="1" applyAlignment="1" applyProtection="1">
      <alignment horizontal="center" textRotation="90" wrapText="1"/>
    </xf>
    <xf numFmtId="0" fontId="3" fillId="13" borderId="35" xfId="0" applyFont="1" applyFill="1" applyBorder="1" applyAlignment="1" applyProtection="1">
      <alignment textRotation="90"/>
    </xf>
    <xf numFmtId="0" fontId="3" fillId="12" borderId="0" xfId="0" applyFont="1" applyFill="1" applyBorder="1" applyAlignment="1" applyProtection="1">
      <alignment horizontal="left" textRotation="90"/>
    </xf>
    <xf numFmtId="0" fontId="3" fillId="13" borderId="36" xfId="0" applyFont="1" applyFill="1" applyBorder="1" applyAlignment="1" applyProtection="1">
      <alignment horizontal="center"/>
    </xf>
    <xf numFmtId="0" fontId="3" fillId="13" borderId="37" xfId="0" applyFont="1" applyFill="1" applyBorder="1" applyAlignment="1" applyProtection="1">
      <alignment horizontal="center"/>
    </xf>
    <xf numFmtId="0" fontId="3" fillId="13" borderId="5" xfId="0" applyFont="1" applyFill="1" applyBorder="1" applyAlignment="1" applyProtection="1">
      <alignment horizontal="center"/>
    </xf>
    <xf numFmtId="0" fontId="3" fillId="13" borderId="38" xfId="0" applyFont="1" applyFill="1" applyBorder="1" applyAlignment="1" applyProtection="1">
      <alignment horizontal="center"/>
    </xf>
    <xf numFmtId="0" fontId="3" fillId="13" borderId="39" xfId="0" applyFont="1" applyFill="1" applyBorder="1" applyAlignment="1" applyProtection="1">
      <alignment horizontal="center"/>
    </xf>
    <xf numFmtId="0" fontId="3" fillId="12" borderId="0" xfId="0" applyFont="1" applyFill="1" applyBorder="1" applyAlignment="1" applyProtection="1">
      <alignment horizontal="center" textRotation="90" wrapText="1"/>
    </xf>
    <xf numFmtId="0" fontId="3" fillId="13" borderId="36" xfId="0" applyFont="1" applyFill="1" applyBorder="1" applyAlignment="1" applyProtection="1">
      <alignment horizontal="center" vertical="center" textRotation="90" wrapText="1"/>
    </xf>
    <xf numFmtId="0" fontId="3" fillId="13" borderId="13" xfId="0" applyFont="1" applyFill="1" applyBorder="1" applyAlignment="1" applyProtection="1">
      <alignment horizontal="center" vertical="center" textRotation="90" wrapText="1"/>
    </xf>
    <xf numFmtId="0" fontId="3" fillId="13" borderId="17" xfId="0" applyFont="1" applyFill="1" applyBorder="1" applyAlignment="1" applyProtection="1">
      <alignment horizontal="center" vertical="center" textRotation="90" wrapText="1"/>
    </xf>
    <xf numFmtId="0" fontId="3" fillId="13" borderId="5" xfId="0" applyFont="1" applyFill="1" applyBorder="1" applyAlignment="1" applyProtection="1">
      <alignment horizontal="center" vertical="center" textRotation="90" wrapText="1"/>
    </xf>
    <xf numFmtId="0" fontId="3" fillId="13" borderId="40" xfId="0" applyFont="1" applyFill="1" applyBorder="1" applyAlignment="1" applyProtection="1">
      <alignment textRotation="90"/>
    </xf>
    <xf numFmtId="0" fontId="2" fillId="13" borderId="40" xfId="0" applyFont="1" applyFill="1" applyBorder="1" applyAlignment="1" applyProtection="1">
      <alignment horizontal="center" textRotation="90"/>
    </xf>
    <xf numFmtId="0" fontId="3" fillId="13" borderId="41" xfId="0" applyFont="1" applyFill="1" applyBorder="1" applyAlignment="1" applyProtection="1">
      <alignment horizontal="left" textRotation="90"/>
    </xf>
    <xf numFmtId="0" fontId="3" fillId="13" borderId="42" xfId="0" applyFont="1" applyFill="1" applyBorder="1" applyAlignment="1" applyProtection="1">
      <alignment horizontal="center"/>
    </xf>
    <xf numFmtId="0" fontId="3" fillId="13" borderId="43" xfId="0" applyFont="1" applyFill="1" applyBorder="1" applyAlignment="1" applyProtection="1">
      <alignment horizontal="center"/>
    </xf>
    <xf numFmtId="0" fontId="3" fillId="13" borderId="44" xfId="0" applyFont="1" applyFill="1" applyBorder="1" applyAlignment="1" applyProtection="1">
      <alignment horizontal="center"/>
    </xf>
    <xf numFmtId="0" fontId="3" fillId="13" borderId="45" xfId="0" applyFont="1" applyFill="1" applyBorder="1" applyAlignment="1" applyProtection="1">
      <alignment horizontal="center"/>
    </xf>
    <xf numFmtId="0" fontId="3" fillId="13" borderId="17" xfId="0" applyFont="1" applyFill="1" applyBorder="1" applyAlignment="1" applyProtection="1">
      <alignment horizontal="center"/>
    </xf>
    <xf numFmtId="0" fontId="3" fillId="13" borderId="46" xfId="0" applyFont="1" applyFill="1" applyBorder="1" applyAlignment="1" applyProtection="1">
      <alignment horizontal="center"/>
    </xf>
    <xf numFmtId="0" fontId="3" fillId="13" borderId="13" xfId="0" applyFont="1" applyFill="1" applyBorder="1" applyAlignment="1" applyProtection="1">
      <alignment horizontal="center"/>
    </xf>
    <xf numFmtId="0" fontId="3" fillId="13" borderId="47" xfId="0" applyFont="1" applyFill="1" applyBorder="1" applyAlignment="1" applyProtection="1">
      <alignment horizontal="center"/>
    </xf>
    <xf numFmtId="0" fontId="3" fillId="0" borderId="48" xfId="0" applyFont="1" applyFill="1" applyBorder="1" applyAlignment="1" applyProtection="1">
      <alignment horizontal="center" vertical="center"/>
    </xf>
    <xf numFmtId="0" fontId="3" fillId="0" borderId="49" xfId="0" applyNumberFormat="1" applyFont="1" applyFill="1" applyBorder="1" applyAlignment="1" applyProtection="1">
      <alignment horizontal="center" vertical="center"/>
    </xf>
    <xf numFmtId="0" fontId="3" fillId="0" borderId="50" xfId="0" applyFont="1" applyFill="1" applyBorder="1" applyAlignment="1" applyProtection="1">
      <alignment horizontal="justify" vertical="center"/>
    </xf>
    <xf numFmtId="3" fontId="3" fillId="0" borderId="51" xfId="0" applyNumberFormat="1" applyFont="1" applyFill="1" applyBorder="1" applyAlignment="1" applyProtection="1">
      <alignment horizontal="right" vertical="center"/>
    </xf>
    <xf numFmtId="3" fontId="3" fillId="12" borderId="0" xfId="0" applyNumberFormat="1" applyFont="1" applyFill="1" applyBorder="1" applyAlignment="1" applyProtection="1">
      <alignment horizontal="right" vertical="center"/>
    </xf>
    <xf numFmtId="3" fontId="3" fillId="0" borderId="50" xfId="0" applyNumberFormat="1" applyFont="1" applyFill="1" applyBorder="1" applyAlignment="1" applyProtection="1">
      <alignment horizontal="right" vertical="center"/>
    </xf>
    <xf numFmtId="3" fontId="2" fillId="0" borderId="52" xfId="0" applyNumberFormat="1" applyFont="1" applyFill="1" applyBorder="1" applyAlignment="1" applyProtection="1">
      <alignment horizontal="right" vertical="center"/>
    </xf>
    <xf numFmtId="3" fontId="2" fillId="0" borderId="29" xfId="0" applyNumberFormat="1" applyFont="1" applyFill="1" applyBorder="1" applyAlignment="1" applyProtection="1">
      <alignment horizontal="right" vertical="center"/>
    </xf>
    <xf numFmtId="3" fontId="2" fillId="0" borderId="53" xfId="0" applyNumberFormat="1" applyFont="1" applyFill="1" applyBorder="1" applyAlignment="1" applyProtection="1">
      <alignment horizontal="right" vertical="center"/>
    </xf>
    <xf numFmtId="3" fontId="3" fillId="0" borderId="54" xfId="0" applyNumberFormat="1" applyFont="1" applyFill="1" applyBorder="1" applyAlignment="1" applyProtection="1">
      <alignment horizontal="right" vertical="center"/>
    </xf>
    <xf numFmtId="3" fontId="2" fillId="0" borderId="55" xfId="0" applyNumberFormat="1" applyFont="1" applyFill="1" applyBorder="1" applyAlignment="1" applyProtection="1">
      <alignment horizontal="right" vertical="center"/>
    </xf>
    <xf numFmtId="3" fontId="31" fillId="0" borderId="29" xfId="0" applyNumberFormat="1" applyFont="1" applyFill="1" applyBorder="1" applyAlignment="1" applyProtection="1">
      <alignment vertical="center"/>
    </xf>
    <xf numFmtId="3" fontId="2" fillId="0" borderId="56" xfId="0" applyNumberFormat="1" applyFont="1" applyFill="1" applyBorder="1" applyAlignment="1" applyProtection="1">
      <alignment horizontal="right" vertical="center"/>
    </xf>
    <xf numFmtId="3" fontId="2" fillId="0" borderId="57" xfId="0" applyNumberFormat="1" applyFont="1" applyFill="1" applyBorder="1" applyAlignment="1" applyProtection="1">
      <alignment horizontal="right" vertical="center"/>
    </xf>
    <xf numFmtId="0" fontId="3" fillId="0" borderId="58" xfId="0" applyFont="1" applyFill="1" applyBorder="1" applyAlignment="1" applyProtection="1">
      <alignment horizontal="center" vertical="center"/>
    </xf>
    <xf numFmtId="0" fontId="3" fillId="0" borderId="59" xfId="0" applyNumberFormat="1" applyFont="1" applyFill="1" applyBorder="1" applyAlignment="1" applyProtection="1">
      <alignment horizontal="center" vertical="center"/>
    </xf>
    <xf numFmtId="3" fontId="2" fillId="0" borderId="60" xfId="0" applyNumberFormat="1" applyFont="1" applyFill="1" applyBorder="1" applyAlignment="1" applyProtection="1">
      <alignment horizontal="right" vertical="center"/>
    </xf>
    <xf numFmtId="3" fontId="2" fillId="0" borderId="25" xfId="0" applyNumberFormat="1" applyFont="1" applyFill="1" applyBorder="1" applyAlignment="1" applyProtection="1">
      <alignment horizontal="right" vertical="center"/>
    </xf>
    <xf numFmtId="3" fontId="2" fillId="0" borderId="61" xfId="0" applyNumberFormat="1" applyFont="1" applyFill="1" applyBorder="1" applyAlignment="1" applyProtection="1">
      <alignment horizontal="right" vertical="center"/>
    </xf>
    <xf numFmtId="3" fontId="3" fillId="0" borderId="62" xfId="0" applyNumberFormat="1" applyFont="1" applyFill="1" applyBorder="1" applyAlignment="1" applyProtection="1">
      <alignment horizontal="right" vertical="center"/>
    </xf>
    <xf numFmtId="3" fontId="2" fillId="0" borderId="16" xfId="0" applyNumberFormat="1" applyFont="1" applyFill="1" applyBorder="1" applyAlignment="1" applyProtection="1">
      <alignment horizontal="right" vertical="center"/>
    </xf>
    <xf numFmtId="3" fontId="31" fillId="0" borderId="25" xfId="0" applyNumberFormat="1" applyFont="1" applyFill="1" applyBorder="1" applyAlignment="1" applyProtection="1">
      <alignment vertical="center"/>
    </xf>
    <xf numFmtId="3" fontId="2" fillId="0" borderId="63" xfId="0" applyNumberFormat="1" applyFont="1" applyFill="1" applyBorder="1" applyAlignment="1" applyProtection="1">
      <alignment horizontal="right" vertical="center"/>
    </xf>
    <xf numFmtId="3" fontId="2" fillId="0" borderId="15" xfId="0" applyNumberFormat="1" applyFont="1" applyFill="1" applyBorder="1" applyAlignment="1" applyProtection="1">
      <alignment horizontal="right" vertical="center"/>
    </xf>
    <xf numFmtId="0" fontId="3" fillId="0" borderId="64" xfId="0" applyFont="1" applyFill="1" applyBorder="1" applyAlignment="1" applyProtection="1">
      <alignment horizontal="center" vertical="center"/>
    </xf>
    <xf numFmtId="0" fontId="3" fillId="0" borderId="64" xfId="0" applyNumberFormat="1" applyFont="1" applyFill="1" applyBorder="1" applyAlignment="1" applyProtection="1">
      <alignment horizontal="center" vertical="center"/>
    </xf>
    <xf numFmtId="0" fontId="3" fillId="0" borderId="65" xfId="0" applyFont="1" applyFill="1" applyBorder="1" applyAlignment="1" applyProtection="1">
      <alignment horizontal="justify" vertical="center" wrapText="1"/>
    </xf>
    <xf numFmtId="3" fontId="3" fillId="0" borderId="66" xfId="0" applyNumberFormat="1" applyFont="1" applyFill="1" applyBorder="1" applyAlignment="1" applyProtection="1">
      <alignment horizontal="right" vertical="center" wrapText="1"/>
    </xf>
    <xf numFmtId="3" fontId="3" fillId="12" borderId="0" xfId="0" applyNumberFormat="1" applyFont="1" applyFill="1" applyBorder="1" applyAlignment="1" applyProtection="1">
      <alignment horizontal="right" vertical="center" wrapText="1"/>
    </xf>
    <xf numFmtId="3" fontId="3" fillId="0" borderId="65" xfId="0" applyNumberFormat="1" applyFont="1" applyFill="1" applyBorder="1" applyAlignment="1" applyProtection="1">
      <alignment horizontal="right" vertical="center"/>
    </xf>
    <xf numFmtId="3" fontId="3" fillId="0" borderId="67" xfId="0" applyNumberFormat="1" applyFont="1" applyFill="1" applyBorder="1" applyAlignment="1" applyProtection="1">
      <alignment horizontal="right" vertical="center"/>
    </xf>
    <xf numFmtId="3" fontId="3" fillId="0" borderId="68" xfId="0" applyNumberFormat="1" applyFont="1" applyFill="1" applyBorder="1" applyAlignment="1" applyProtection="1">
      <alignment horizontal="right" vertical="center"/>
    </xf>
    <xf numFmtId="3" fontId="3" fillId="0" borderId="69" xfId="0" applyNumberFormat="1" applyFont="1" applyFill="1" applyBorder="1" applyAlignment="1" applyProtection="1">
      <alignment horizontal="right" vertical="center"/>
    </xf>
    <xf numFmtId="3" fontId="3" fillId="0" borderId="70" xfId="0" applyNumberFormat="1" applyFont="1" applyFill="1" applyBorder="1" applyAlignment="1" applyProtection="1">
      <alignment horizontal="right" vertical="center"/>
    </xf>
    <xf numFmtId="0" fontId="3" fillId="0" borderId="71" xfId="0" applyFont="1" applyFill="1" applyBorder="1" applyAlignment="1" applyProtection="1">
      <alignment horizontal="center" vertical="center"/>
    </xf>
    <xf numFmtId="0" fontId="2" fillId="0" borderId="49" xfId="0" applyFont="1" applyFill="1" applyBorder="1" applyAlignment="1" applyProtection="1">
      <alignment vertical="center"/>
    </xf>
    <xf numFmtId="0" fontId="3" fillId="0" borderId="50" xfId="0" applyFont="1" applyFill="1" applyBorder="1" applyAlignment="1" applyProtection="1">
      <alignment vertical="center" wrapText="1"/>
    </xf>
    <xf numFmtId="3" fontId="3" fillId="0" borderId="32" xfId="0" applyNumberFormat="1" applyFont="1" applyFill="1" applyBorder="1" applyAlignment="1" applyProtection="1">
      <alignment horizontal="right" vertical="center" wrapText="1"/>
    </xf>
    <xf numFmtId="3" fontId="2" fillId="0" borderId="72" xfId="0" applyNumberFormat="1" applyFont="1" applyFill="1" applyBorder="1" applyAlignment="1" applyProtection="1"/>
    <xf numFmtId="3" fontId="2" fillId="0" borderId="73" xfId="0" applyNumberFormat="1" applyFont="1" applyFill="1" applyBorder="1" applyAlignment="1" applyProtection="1"/>
    <xf numFmtId="3" fontId="2" fillId="0" borderId="74" xfId="0" applyNumberFormat="1" applyFont="1" applyFill="1" applyBorder="1" applyAlignment="1" applyProtection="1"/>
    <xf numFmtId="3" fontId="3" fillId="12" borderId="0" xfId="0" applyNumberFormat="1" applyFont="1" applyFill="1" applyBorder="1" applyProtection="1"/>
    <xf numFmtId="3" fontId="2" fillId="0" borderId="75" xfId="0" applyNumberFormat="1" applyFont="1" applyFill="1" applyBorder="1" applyAlignment="1" applyProtection="1">
      <alignment horizontal="right" vertical="center"/>
    </xf>
    <xf numFmtId="3" fontId="2" fillId="0" borderId="1" xfId="0" applyNumberFormat="1" applyFont="1" applyFill="1" applyBorder="1" applyAlignment="1" applyProtection="1">
      <alignment horizontal="right" vertical="center"/>
    </xf>
    <xf numFmtId="0" fontId="3" fillId="0" borderId="76" xfId="0" applyFont="1" applyFill="1" applyBorder="1" applyAlignment="1" applyProtection="1">
      <alignment horizontal="center" vertical="center"/>
    </xf>
    <xf numFmtId="0" fontId="2" fillId="0" borderId="77" xfId="0" applyFont="1" applyFill="1" applyBorder="1" applyAlignment="1" applyProtection="1">
      <alignment vertical="center"/>
    </xf>
    <xf numFmtId="0" fontId="3" fillId="0" borderId="62" xfId="0" applyFont="1" applyFill="1" applyBorder="1" applyAlignment="1" applyProtection="1">
      <alignment vertical="center" wrapText="1"/>
    </xf>
    <xf numFmtId="3" fontId="3" fillId="0" borderId="78" xfId="0" applyNumberFormat="1" applyFont="1" applyFill="1" applyBorder="1" applyAlignment="1" applyProtection="1">
      <alignment horizontal="right" vertical="center" wrapText="1"/>
    </xf>
    <xf numFmtId="3" fontId="2" fillId="0" borderId="79" xfId="0" applyNumberFormat="1" applyFont="1" applyFill="1" applyBorder="1" applyAlignment="1" applyProtection="1"/>
    <xf numFmtId="3" fontId="2" fillId="0" borderId="0" xfId="0" applyNumberFormat="1" applyFont="1" applyFill="1" applyBorder="1" applyAlignment="1" applyProtection="1"/>
    <xf numFmtId="3" fontId="2" fillId="0" borderId="32" xfId="0" applyNumberFormat="1" applyFont="1" applyFill="1" applyBorder="1" applyAlignment="1" applyProtection="1"/>
    <xf numFmtId="3" fontId="3" fillId="0" borderId="33" xfId="0" applyNumberFormat="1" applyFont="1" applyFill="1" applyBorder="1" applyAlignment="1" applyProtection="1">
      <alignment horizontal="right" vertical="center"/>
    </xf>
    <xf numFmtId="3" fontId="2" fillId="0" borderId="80" xfId="0" applyNumberFormat="1" applyFont="1" applyFill="1" applyBorder="1" applyAlignment="1" applyProtection="1">
      <alignment horizontal="right" vertical="center"/>
    </xf>
    <xf numFmtId="3" fontId="2" fillId="0" borderId="81" xfId="0" applyNumberFormat="1" applyFont="1" applyFill="1" applyBorder="1" applyAlignment="1" applyProtection="1">
      <alignment horizontal="right" vertical="center"/>
    </xf>
    <xf numFmtId="0" fontId="3" fillId="0" borderId="82" xfId="0" applyFont="1" applyFill="1" applyBorder="1" applyAlignment="1" applyProtection="1">
      <alignment horizontal="center" vertical="center"/>
    </xf>
    <xf numFmtId="0" fontId="2" fillId="0" borderId="83" xfId="0" applyFont="1" applyFill="1" applyBorder="1" applyAlignment="1" applyProtection="1">
      <alignment vertical="center"/>
    </xf>
    <xf numFmtId="0" fontId="3" fillId="0" borderId="41" xfId="0" applyFont="1" applyFill="1" applyBorder="1" applyAlignment="1" applyProtection="1">
      <alignment vertical="center" wrapText="1"/>
    </xf>
    <xf numFmtId="3" fontId="3" fillId="0" borderId="84" xfId="0" applyNumberFormat="1" applyFont="1" applyFill="1" applyBorder="1" applyAlignment="1" applyProtection="1">
      <alignment horizontal="right" vertical="center" wrapText="1"/>
    </xf>
    <xf numFmtId="3" fontId="2" fillId="0" borderId="85" xfId="0" applyNumberFormat="1" applyFont="1" applyFill="1" applyBorder="1" applyAlignment="1" applyProtection="1"/>
    <xf numFmtId="3" fontId="2" fillId="0" borderId="86" xfId="0" applyNumberFormat="1" applyFont="1" applyFill="1" applyBorder="1" applyAlignment="1" applyProtection="1"/>
    <xf numFmtId="3" fontId="2" fillId="0" borderId="87" xfId="0" applyNumberFormat="1" applyFont="1" applyFill="1" applyBorder="1" applyAlignment="1" applyProtection="1"/>
    <xf numFmtId="3" fontId="3" fillId="0" borderId="41" xfId="0" applyNumberFormat="1" applyFont="1" applyFill="1" applyBorder="1" applyAlignment="1" applyProtection="1">
      <alignment horizontal="right" vertical="center"/>
    </xf>
    <xf numFmtId="3" fontId="3" fillId="0" borderId="46" xfId="0" applyNumberFormat="1" applyFont="1" applyFill="1" applyBorder="1" applyAlignment="1" applyProtection="1">
      <alignment horizontal="right" vertical="center"/>
    </xf>
    <xf numFmtId="3" fontId="3" fillId="0" borderId="43" xfId="0" applyNumberFormat="1" applyFont="1" applyFill="1" applyBorder="1" applyAlignment="1" applyProtection="1">
      <alignment horizontal="right" vertical="center"/>
    </xf>
    <xf numFmtId="0" fontId="3" fillId="0" borderId="88" xfId="0" applyFont="1" applyFill="1" applyBorder="1" applyAlignment="1" applyProtection="1">
      <alignment horizontal="center" vertical="center"/>
    </xf>
    <xf numFmtId="0" fontId="3" fillId="12" borderId="88" xfId="0" applyFont="1" applyFill="1" applyBorder="1" applyAlignment="1" applyProtection="1">
      <alignment horizontal="center" vertical="center"/>
    </xf>
    <xf numFmtId="0" fontId="3" fillId="12" borderId="0" xfId="0" applyFont="1" applyFill="1" applyBorder="1" applyAlignment="1" applyProtection="1">
      <alignment horizontal="center" vertical="center"/>
    </xf>
    <xf numFmtId="0" fontId="3" fillId="0" borderId="89"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3" fillId="0" borderId="91" xfId="0" applyFont="1" applyFill="1" applyBorder="1" applyAlignment="1" applyProtection="1">
      <alignment vertical="center" wrapText="1"/>
    </xf>
    <xf numFmtId="0" fontId="3" fillId="12" borderId="0" xfId="0" applyFont="1" applyFill="1" applyBorder="1" applyAlignment="1" applyProtection="1">
      <alignment vertical="center" wrapText="1"/>
    </xf>
    <xf numFmtId="3" fontId="3" fillId="0" borderId="91" xfId="0" applyNumberFormat="1" applyFont="1" applyFill="1" applyBorder="1" applyAlignment="1" applyProtection="1">
      <alignment horizontal="right" vertical="center" wrapText="1"/>
    </xf>
    <xf numFmtId="3" fontId="3" fillId="0" borderId="92" xfId="0" applyNumberFormat="1" applyFont="1" applyFill="1" applyBorder="1" applyAlignment="1" applyProtection="1">
      <alignment horizontal="right" vertical="center"/>
    </xf>
    <xf numFmtId="0" fontId="3" fillId="0" borderId="49" xfId="0" applyFont="1" applyFill="1" applyBorder="1" applyAlignment="1" applyProtection="1">
      <alignment horizontal="justify" vertical="center" wrapText="1"/>
    </xf>
    <xf numFmtId="0" fontId="3" fillId="12" borderId="0" xfId="0" applyFont="1" applyFill="1" applyBorder="1" applyAlignment="1" applyProtection="1">
      <alignment horizontal="justify" vertical="center" wrapText="1"/>
    </xf>
    <xf numFmtId="3" fontId="3" fillId="0" borderId="50" xfId="0" applyNumberFormat="1" applyFont="1" applyFill="1" applyBorder="1" applyAlignment="1" applyProtection="1">
      <alignment horizontal="right" vertical="center" wrapText="1"/>
    </xf>
    <xf numFmtId="3" fontId="3" fillId="0" borderId="52" xfId="0" applyNumberFormat="1" applyFont="1" applyFill="1" applyBorder="1" applyAlignment="1" applyProtection="1">
      <alignment horizontal="right" vertical="center"/>
    </xf>
    <xf numFmtId="3" fontId="3" fillId="0" borderId="29" xfId="0" applyNumberFormat="1" applyFont="1" applyFill="1" applyBorder="1" applyAlignment="1" applyProtection="1">
      <alignment horizontal="right" vertical="center"/>
    </xf>
    <xf numFmtId="3" fontId="3" fillId="0" borderId="53" xfId="0" applyNumberFormat="1" applyFont="1" applyFill="1" applyBorder="1" applyAlignment="1" applyProtection="1">
      <alignment horizontal="right" vertical="center"/>
    </xf>
    <xf numFmtId="3" fontId="30" fillId="12" borderId="0" xfId="0" applyNumberFormat="1" applyFont="1" applyFill="1" applyBorder="1" applyProtection="1"/>
    <xf numFmtId="0" fontId="3" fillId="0" borderId="59" xfId="0" applyFont="1" applyFill="1" applyBorder="1" applyAlignment="1" applyProtection="1">
      <alignment horizontal="left" vertical="center" wrapText="1" indent="2"/>
    </xf>
    <xf numFmtId="0" fontId="3" fillId="12" borderId="0" xfId="0" applyFont="1" applyFill="1" applyBorder="1" applyAlignment="1" applyProtection="1">
      <alignment horizontal="left" vertical="center" wrapText="1" indent="2"/>
    </xf>
    <xf numFmtId="3" fontId="3" fillId="0" borderId="93" xfId="0" applyNumberFormat="1" applyFont="1" applyFill="1" applyBorder="1" applyAlignment="1" applyProtection="1">
      <alignment horizontal="right" vertical="center" wrapText="1"/>
    </xf>
    <xf numFmtId="3" fontId="3" fillId="0" borderId="60" xfId="0" applyNumberFormat="1" applyFont="1" applyFill="1" applyBorder="1" applyAlignment="1" applyProtection="1">
      <alignment horizontal="right" vertical="center"/>
    </xf>
    <xf numFmtId="3" fontId="3" fillId="0" borderId="25" xfId="0" applyNumberFormat="1" applyFont="1" applyFill="1" applyBorder="1" applyAlignment="1" applyProtection="1">
      <alignment horizontal="right" vertical="center"/>
    </xf>
    <xf numFmtId="3" fontId="3" fillId="0" borderId="61" xfId="0" applyNumberFormat="1" applyFont="1" applyFill="1" applyBorder="1" applyAlignment="1" applyProtection="1">
      <alignment horizontal="right" vertical="center"/>
    </xf>
    <xf numFmtId="0" fontId="19" fillId="0" borderId="59" xfId="0" applyFont="1" applyFill="1" applyBorder="1" applyAlignment="1" applyProtection="1">
      <alignment horizontal="left" vertical="center" wrapText="1" indent="4"/>
    </xf>
    <xf numFmtId="0" fontId="19" fillId="12" borderId="0" xfId="0" applyFont="1" applyFill="1" applyBorder="1" applyAlignment="1" applyProtection="1">
      <alignment horizontal="left" vertical="center" wrapText="1" indent="4"/>
    </xf>
    <xf numFmtId="3" fontId="19" fillId="0" borderId="93" xfId="0" applyNumberFormat="1" applyFont="1" applyFill="1" applyBorder="1" applyAlignment="1" applyProtection="1">
      <alignment horizontal="right" vertical="center" wrapText="1"/>
    </xf>
    <xf numFmtId="3" fontId="20" fillId="0" borderId="60"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61" xfId="0" applyNumberFormat="1" applyFont="1" applyFill="1" applyBorder="1" applyAlignment="1" applyProtection="1">
      <alignment horizontal="right" vertical="center"/>
    </xf>
    <xf numFmtId="0" fontId="3" fillId="0" borderId="59" xfId="0" applyFont="1" applyFill="1" applyBorder="1" applyAlignment="1" applyProtection="1">
      <alignment horizontal="left" vertical="center" wrapText="1" indent="4"/>
    </xf>
    <xf numFmtId="0" fontId="3" fillId="0" borderId="59" xfId="0" applyFont="1" applyFill="1" applyBorder="1" applyAlignment="1" applyProtection="1">
      <alignment horizontal="justify" vertical="center" wrapText="1"/>
    </xf>
    <xf numFmtId="0" fontId="3" fillId="0" borderId="35" xfId="0" applyFont="1" applyFill="1" applyBorder="1" applyAlignment="1" applyProtection="1">
      <alignment horizontal="center" vertical="center"/>
    </xf>
    <xf numFmtId="0" fontId="3" fillId="0" borderId="77" xfId="0" applyNumberFormat="1" applyFont="1" applyFill="1" applyBorder="1" applyAlignment="1" applyProtection="1">
      <alignment horizontal="center" vertical="center"/>
    </xf>
    <xf numFmtId="0" fontId="19" fillId="0" borderId="77" xfId="0" applyFont="1" applyFill="1" applyBorder="1" applyAlignment="1" applyProtection="1">
      <alignment horizontal="left" vertical="center" wrapText="1" indent="4"/>
    </xf>
    <xf numFmtId="3" fontId="19" fillId="0" borderId="62" xfId="0" applyNumberFormat="1" applyFont="1" applyFill="1" applyBorder="1" applyAlignment="1" applyProtection="1">
      <alignment horizontal="right" vertical="center" wrapText="1"/>
    </xf>
    <xf numFmtId="3" fontId="20" fillId="0" borderId="94" xfId="0" applyNumberFormat="1" applyFont="1" applyFill="1" applyBorder="1" applyAlignment="1" applyProtection="1">
      <alignment horizontal="right" vertical="center"/>
    </xf>
    <xf numFmtId="3" fontId="20" fillId="0" borderId="95" xfId="0" applyNumberFormat="1" applyFont="1" applyFill="1" applyBorder="1" applyAlignment="1" applyProtection="1">
      <alignment horizontal="right" vertical="center"/>
    </xf>
    <xf numFmtId="3" fontId="20" fillId="0" borderId="96" xfId="0" applyNumberFormat="1" applyFont="1" applyFill="1" applyBorder="1" applyAlignment="1" applyProtection="1">
      <alignment horizontal="right" vertical="center"/>
    </xf>
    <xf numFmtId="0" fontId="3" fillId="0" borderId="97" xfId="0" applyFont="1" applyFill="1" applyBorder="1" applyAlignment="1" applyProtection="1">
      <alignment horizontal="center" vertical="center"/>
    </xf>
    <xf numFmtId="0" fontId="2" fillId="0" borderId="98" xfId="0" applyFont="1" applyFill="1" applyBorder="1" applyAlignment="1" applyProtection="1">
      <alignment horizontal="center" vertical="center"/>
    </xf>
    <xf numFmtId="0" fontId="3" fillId="0" borderId="98" xfId="0" applyFont="1" applyFill="1" applyBorder="1" applyAlignment="1" applyProtection="1">
      <alignment vertical="center" wrapText="1"/>
    </xf>
    <xf numFmtId="3" fontId="3" fillId="0" borderId="99" xfId="0" applyNumberFormat="1" applyFont="1" applyFill="1" applyBorder="1" applyAlignment="1" applyProtection="1">
      <alignment vertical="center" wrapText="1"/>
    </xf>
    <xf numFmtId="3" fontId="3" fillId="0" borderId="100" xfId="0" applyNumberFormat="1" applyFont="1" applyFill="1" applyBorder="1" applyAlignment="1" applyProtection="1">
      <alignment horizontal="right" vertical="center"/>
    </xf>
    <xf numFmtId="3" fontId="3" fillId="0" borderId="101" xfId="0" applyNumberFormat="1" applyFont="1" applyFill="1" applyBorder="1" applyAlignment="1" applyProtection="1">
      <alignment horizontal="right" vertical="center"/>
    </xf>
    <xf numFmtId="3" fontId="3" fillId="0" borderId="102" xfId="0" applyNumberFormat="1" applyFont="1" applyFill="1" applyBorder="1" applyAlignment="1" applyProtection="1">
      <alignment horizontal="right" vertical="center"/>
    </xf>
    <xf numFmtId="0" fontId="3" fillId="0" borderId="40" xfId="0" applyFont="1" applyFill="1" applyBorder="1" applyAlignment="1" applyProtection="1">
      <alignment horizontal="center" vertical="center"/>
    </xf>
    <xf numFmtId="0" fontId="2" fillId="0" borderId="83" xfId="0" applyFont="1" applyFill="1" applyBorder="1" applyAlignment="1" applyProtection="1">
      <alignment horizontal="center" vertical="center"/>
    </xf>
    <xf numFmtId="0" fontId="3" fillId="0" borderId="83" xfId="0" applyFont="1" applyFill="1" applyBorder="1" applyAlignment="1" applyProtection="1">
      <alignment vertical="center" wrapText="1"/>
    </xf>
    <xf numFmtId="3" fontId="3" fillId="0" borderId="103" xfId="0" applyNumberFormat="1" applyFont="1" applyFill="1" applyBorder="1" applyAlignment="1" applyProtection="1">
      <alignment vertical="center" wrapText="1"/>
    </xf>
    <xf numFmtId="3" fontId="3" fillId="0" borderId="42" xfId="0" applyNumberFormat="1" applyFont="1" applyFill="1" applyBorder="1" applyAlignment="1" applyProtection="1">
      <alignment horizontal="right" vertical="center"/>
    </xf>
    <xf numFmtId="0" fontId="2" fillId="0" borderId="85" xfId="0" applyFont="1" applyFill="1" applyBorder="1" applyAlignment="1" applyProtection="1">
      <alignment horizontal="center" vertical="center"/>
    </xf>
    <xf numFmtId="0" fontId="3" fillId="0" borderId="85" xfId="0" applyFont="1" applyFill="1" applyBorder="1" applyAlignment="1" applyProtection="1">
      <alignment horizontal="justify" vertical="center" wrapText="1"/>
    </xf>
    <xf numFmtId="3" fontId="2" fillId="12" borderId="0" xfId="0" applyNumberFormat="1" applyFont="1" applyFill="1" applyBorder="1" applyProtection="1"/>
    <xf numFmtId="3" fontId="3" fillId="0" borderId="103" xfId="0" applyNumberFormat="1" applyFont="1" applyFill="1" applyBorder="1" applyAlignment="1" applyProtection="1">
      <alignment horizontal="right" vertical="center"/>
    </xf>
    <xf numFmtId="3" fontId="3" fillId="0" borderId="104" xfId="0" applyNumberFormat="1" applyFont="1" applyFill="1" applyBorder="1" applyAlignment="1" applyProtection="1">
      <alignment horizontal="right" vertical="center"/>
    </xf>
    <xf numFmtId="3" fontId="3" fillId="0" borderId="86" xfId="0" applyNumberFormat="1" applyFont="1" applyFill="1" applyBorder="1" applyAlignment="1" applyProtection="1">
      <alignment horizontal="right" vertical="center"/>
    </xf>
    <xf numFmtId="0" fontId="3" fillId="12" borderId="0" xfId="0" applyFont="1" applyFill="1" applyBorder="1" applyAlignment="1" applyProtection="1">
      <alignment horizontal="left" vertical="center"/>
    </xf>
    <xf numFmtId="0" fontId="2" fillId="12" borderId="0" xfId="0" applyFont="1" applyFill="1" applyBorder="1" applyAlignment="1" applyProtection="1">
      <alignment horizontal="center" vertical="center"/>
    </xf>
    <xf numFmtId="9" fontId="3" fillId="12" borderId="0" xfId="19" applyFont="1" applyFill="1" applyBorder="1" applyAlignment="1" applyProtection="1">
      <alignment horizontal="justify" vertical="center" wrapText="1"/>
    </xf>
    <xf numFmtId="0" fontId="67" fillId="12" borderId="0" xfId="0" applyFont="1" applyFill="1" applyProtection="1"/>
    <xf numFmtId="0" fontId="31" fillId="12" borderId="0" xfId="0" applyFont="1" applyFill="1" applyProtection="1"/>
    <xf numFmtId="3" fontId="31" fillId="12" borderId="0" xfId="0" applyNumberFormat="1" applyFont="1" applyFill="1" applyProtection="1"/>
    <xf numFmtId="0" fontId="2" fillId="0" borderId="64" xfId="0" applyFont="1" applyFill="1" applyBorder="1" applyAlignment="1" applyProtection="1">
      <alignment horizontal="center" vertical="center"/>
    </xf>
    <xf numFmtId="0" fontId="3" fillId="14" borderId="65" xfId="0" applyFont="1" applyFill="1" applyBorder="1" applyAlignment="1" applyProtection="1">
      <alignment horizontal="left" textRotation="90"/>
    </xf>
    <xf numFmtId="0" fontId="3" fillId="14" borderId="67" xfId="0" applyFont="1" applyFill="1" applyBorder="1" applyAlignment="1" applyProtection="1">
      <alignment horizontal="center"/>
    </xf>
    <xf numFmtId="0" fontId="3" fillId="14" borderId="88" xfId="0" applyFont="1" applyFill="1" applyBorder="1" applyAlignment="1" applyProtection="1">
      <alignment horizontal="center"/>
    </xf>
    <xf numFmtId="0" fontId="3" fillId="14" borderId="68" xfId="0" applyFont="1" applyFill="1" applyBorder="1" applyAlignment="1" applyProtection="1">
      <alignment horizontal="center"/>
    </xf>
    <xf numFmtId="0" fontId="3" fillId="14" borderId="69" xfId="0" applyFont="1" applyFill="1" applyBorder="1" applyAlignment="1" applyProtection="1">
      <alignment horizontal="center"/>
    </xf>
    <xf numFmtId="0" fontId="3" fillId="14" borderId="64" xfId="0" applyFont="1" applyFill="1" applyBorder="1" applyAlignment="1" applyProtection="1">
      <alignment horizontal="center"/>
    </xf>
    <xf numFmtId="0" fontId="3" fillId="0" borderId="89" xfId="0" applyNumberFormat="1" applyFont="1" applyFill="1" applyBorder="1" applyAlignment="1" applyProtection="1">
      <alignment horizontal="center" vertical="center"/>
    </xf>
    <xf numFmtId="3" fontId="3" fillId="0" borderId="105" xfId="0" applyNumberFormat="1" applyFont="1" applyFill="1" applyBorder="1" applyAlignment="1" applyProtection="1">
      <alignment horizontal="right" vertical="center"/>
    </xf>
    <xf numFmtId="3" fontId="3" fillId="0" borderId="106" xfId="0" applyNumberFormat="1" applyFont="1" applyFill="1" applyBorder="1" applyAlignment="1" applyProtection="1">
      <alignment horizontal="right" vertical="center"/>
    </xf>
    <xf numFmtId="3" fontId="67" fillId="0" borderId="107" xfId="0" applyNumberFormat="1" applyFont="1" applyBorder="1" applyAlignment="1" applyProtection="1">
      <alignment vertical="center"/>
    </xf>
    <xf numFmtId="3" fontId="67" fillId="0" borderId="71" xfId="0" applyNumberFormat="1" applyFont="1" applyBorder="1" applyAlignment="1" applyProtection="1">
      <alignment vertical="center"/>
    </xf>
    <xf numFmtId="3" fontId="67" fillId="0" borderId="58" xfId="0" applyNumberFormat="1" applyFont="1" applyBorder="1" applyAlignment="1" applyProtection="1">
      <alignment vertical="center"/>
    </xf>
    <xf numFmtId="0" fontId="3" fillId="0" borderId="108" xfId="0" applyFont="1" applyFill="1" applyBorder="1" applyAlignment="1" applyProtection="1">
      <alignment horizontal="center" vertical="center"/>
    </xf>
    <xf numFmtId="0" fontId="2" fillId="0" borderId="108" xfId="0" applyFont="1" applyFill="1" applyBorder="1" applyAlignment="1" applyProtection="1">
      <alignment horizontal="center" vertical="center"/>
    </xf>
    <xf numFmtId="0" fontId="19" fillId="0" borderId="109" xfId="0" applyFont="1" applyFill="1" applyBorder="1" applyAlignment="1" applyProtection="1">
      <alignment horizontal="left" vertical="center" wrapText="1" indent="4"/>
    </xf>
    <xf numFmtId="0" fontId="32" fillId="12" borderId="35" xfId="0" applyFont="1" applyFill="1" applyBorder="1" applyProtection="1"/>
    <xf numFmtId="3" fontId="19" fillId="0" borderId="110" xfId="0" applyNumberFormat="1" applyFont="1" applyFill="1" applyBorder="1" applyAlignment="1" applyProtection="1">
      <alignment horizontal="right" vertical="center" wrapText="1"/>
    </xf>
    <xf numFmtId="3" fontId="20" fillId="0" borderId="111" xfId="0" applyNumberFormat="1" applyFont="1" applyFill="1" applyBorder="1" applyAlignment="1" applyProtection="1">
      <alignment horizontal="right" vertical="center"/>
    </xf>
    <xf numFmtId="3" fontId="20" fillId="0" borderId="112" xfId="0" applyNumberFormat="1" applyFont="1" applyFill="1" applyBorder="1" applyAlignment="1" applyProtection="1">
      <alignment horizontal="right" vertical="center"/>
    </xf>
    <xf numFmtId="3" fontId="20" fillId="0" borderId="113" xfId="0" applyNumberFormat="1" applyFont="1" applyFill="1" applyBorder="1" applyAlignment="1" applyProtection="1">
      <alignment horizontal="right" vertical="center"/>
    </xf>
    <xf numFmtId="3" fontId="67" fillId="0" borderId="108" xfId="0" applyNumberFormat="1" applyFont="1" applyBorder="1" applyAlignment="1" applyProtection="1">
      <alignment vertical="center"/>
    </xf>
    <xf numFmtId="0" fontId="30" fillId="12" borderId="0" xfId="0" applyFont="1" applyFill="1" applyProtection="1"/>
    <xf numFmtId="0" fontId="2" fillId="12" borderId="0" xfId="0" applyFont="1" applyFill="1" applyBorder="1" applyAlignment="1" applyProtection="1">
      <alignment vertical="center"/>
    </xf>
    <xf numFmtId="0" fontId="23" fillId="4" borderId="5" xfId="17" applyFont="1" applyFill="1" applyBorder="1" applyAlignment="1" applyProtection="1">
      <alignment horizontal="center" vertical="center" wrapText="1"/>
    </xf>
    <xf numFmtId="0" fontId="23" fillId="4" borderId="13" xfId="17" applyFont="1" applyFill="1" applyBorder="1" applyAlignment="1" applyProtection="1">
      <alignment horizontal="center" vertical="center"/>
    </xf>
    <xf numFmtId="0" fontId="23" fillId="4" borderId="12" xfId="17" applyFont="1" applyFill="1" applyBorder="1" applyAlignment="1" applyProtection="1">
      <alignment horizontal="center" vertical="center" wrapText="1"/>
    </xf>
    <xf numFmtId="0" fontId="23" fillId="4" borderId="17" xfId="17" applyFont="1" applyFill="1" applyBorder="1" applyAlignment="1" applyProtection="1">
      <alignment horizontal="center" vertical="center" wrapText="1"/>
    </xf>
    <xf numFmtId="0" fontId="23" fillId="4" borderId="3" xfId="17" applyFont="1" applyFill="1" applyBorder="1" applyAlignment="1" applyProtection="1">
      <alignment horizontal="center" vertical="center" wrapText="1"/>
    </xf>
    <xf numFmtId="0" fontId="23" fillId="4" borderId="0" xfId="17" applyFont="1" applyFill="1" applyBorder="1" applyAlignment="1" applyProtection="1">
      <alignment horizontal="center" vertical="center" wrapText="1"/>
    </xf>
    <xf numFmtId="0" fontId="23" fillId="4" borderId="2" xfId="17" applyFont="1" applyFill="1" applyBorder="1" applyAlignment="1" applyProtection="1">
      <alignment horizontal="center" vertical="center" wrapText="1"/>
    </xf>
    <xf numFmtId="0" fontId="23" fillId="4" borderId="11" xfId="17" applyFont="1" applyFill="1" applyBorder="1" applyAlignment="1" applyProtection="1">
      <alignment horizontal="center" vertical="center" wrapText="1"/>
    </xf>
    <xf numFmtId="0" fontId="29" fillId="0" borderId="13" xfId="0" applyFont="1" applyBorder="1" applyAlignment="1" applyProtection="1">
      <alignment horizontal="left" vertical="center" wrapText="1"/>
    </xf>
    <xf numFmtId="166" fontId="21" fillId="0" borderId="3" xfId="2" applyNumberFormat="1" applyFont="1" applyBorder="1" applyProtection="1"/>
    <xf numFmtId="166" fontId="21" fillId="0" borderId="2" xfId="2" applyNumberFormat="1" applyFont="1" applyBorder="1" applyProtection="1"/>
    <xf numFmtId="0" fontId="29" fillId="0" borderId="11" xfId="0" applyFont="1" applyBorder="1" applyAlignment="1" applyProtection="1">
      <alignment horizontal="left" vertical="center" wrapText="1"/>
    </xf>
    <xf numFmtId="3" fontId="0" fillId="0" borderId="3" xfId="0" applyNumberFormat="1" applyFont="1" applyBorder="1" applyProtection="1"/>
    <xf numFmtId="3" fontId="0" fillId="0" borderId="0" xfId="0" applyNumberFormat="1" applyFont="1" applyBorder="1" applyProtection="1"/>
    <xf numFmtId="166" fontId="29" fillId="0" borderId="2" xfId="2" applyNumberFormat="1" applyFont="1" applyBorder="1" applyAlignment="1" applyProtection="1">
      <alignment horizontal="right" vertical="center"/>
    </xf>
    <xf numFmtId="0" fontId="29" fillId="0" borderId="6" xfId="0" applyFont="1" applyBorder="1" applyAlignment="1" applyProtection="1">
      <alignment horizontal="left" vertical="center" wrapText="1"/>
    </xf>
    <xf numFmtId="166" fontId="29" fillId="0" borderId="7" xfId="2" applyNumberFormat="1" applyFont="1" applyBorder="1" applyAlignment="1" applyProtection="1">
      <alignment horizontal="right" vertical="center"/>
    </xf>
    <xf numFmtId="166" fontId="29" fillId="0" borderId="8" xfId="2" applyNumberFormat="1" applyFont="1" applyBorder="1" applyAlignment="1" applyProtection="1">
      <alignment horizontal="right" vertical="center"/>
    </xf>
    <xf numFmtId="166" fontId="29" fillId="0" borderId="9" xfId="2" applyNumberFormat="1" applyFont="1" applyBorder="1" applyAlignment="1" applyProtection="1">
      <alignment horizontal="right" vertical="center"/>
    </xf>
    <xf numFmtId="166" fontId="46" fillId="0" borderId="0" xfId="2" applyNumberFormat="1" applyFont="1" applyFill="1" applyBorder="1" applyAlignment="1" applyProtection="1">
      <alignment horizontal="right" vertical="center"/>
    </xf>
    <xf numFmtId="166" fontId="46" fillId="0" borderId="0" xfId="2" applyNumberFormat="1" applyFont="1" applyBorder="1" applyAlignment="1" applyProtection="1">
      <alignment horizontal="right" vertical="center"/>
    </xf>
    <xf numFmtId="166" fontId="8" fillId="0" borderId="0" xfId="2" applyNumberFormat="1" applyFont="1" applyFill="1" applyBorder="1" applyAlignment="1" applyProtection="1">
      <alignment horizontal="right" vertical="center"/>
    </xf>
    <xf numFmtId="0" fontId="40" fillId="0" borderId="0" xfId="0" applyFont="1" applyFill="1" applyBorder="1" applyAlignment="1" applyProtection="1">
      <alignment horizontal="left" vertical="center" wrapText="1"/>
    </xf>
    <xf numFmtId="0" fontId="23" fillId="0" borderId="0" xfId="17" applyFont="1" applyFill="1" applyBorder="1" applyAlignment="1" applyProtection="1">
      <alignment horizontal="center" vertical="center" wrapText="1"/>
    </xf>
    <xf numFmtId="0" fontId="33" fillId="0" borderId="6" xfId="0" applyFont="1" applyFill="1" applyBorder="1" applyProtection="1"/>
    <xf numFmtId="43" fontId="33" fillId="0" borderId="6" xfId="0" applyNumberFormat="1" applyFont="1" applyFill="1" applyBorder="1" applyProtection="1"/>
    <xf numFmtId="0" fontId="33" fillId="0" borderId="0" xfId="0" applyFont="1" applyFill="1" applyBorder="1" applyProtection="1"/>
    <xf numFmtId="0" fontId="33" fillId="0" borderId="0" xfId="0" applyFont="1" applyBorder="1" applyProtection="1"/>
    <xf numFmtId="0" fontId="56" fillId="0" borderId="0" xfId="0" applyFont="1" applyProtection="1"/>
    <xf numFmtId="0" fontId="33" fillId="0" borderId="0" xfId="0" applyFont="1" applyProtection="1"/>
    <xf numFmtId="0" fontId="13" fillId="0" borderId="0" xfId="0" applyFont="1" applyProtection="1"/>
    <xf numFmtId="166" fontId="33" fillId="0" borderId="0" xfId="0" applyNumberFormat="1" applyFont="1" applyBorder="1" applyProtection="1"/>
    <xf numFmtId="166" fontId="33" fillId="0" borderId="0" xfId="0" applyNumberFormat="1" applyFont="1" applyProtection="1"/>
    <xf numFmtId="0" fontId="0" fillId="0" borderId="0" xfId="0" applyFill="1" applyBorder="1" applyProtection="1"/>
    <xf numFmtId="43" fontId="0" fillId="0" borderId="3" xfId="0" applyNumberFormat="1" applyFont="1" applyBorder="1" applyProtection="1"/>
    <xf numFmtId="43" fontId="0" fillId="0" borderId="2" xfId="0" applyNumberFormat="1" applyFont="1" applyBorder="1" applyProtection="1"/>
    <xf numFmtId="43" fontId="26" fillId="0" borderId="13" xfId="0" applyNumberFormat="1" applyFont="1" applyBorder="1" applyProtection="1"/>
    <xf numFmtId="43" fontId="0" fillId="0" borderId="3" xfId="0" applyNumberFormat="1" applyFont="1" applyFill="1" applyBorder="1" applyProtection="1"/>
    <xf numFmtId="43" fontId="0" fillId="0" borderId="2" xfId="0" applyNumberFormat="1" applyFont="1" applyFill="1" applyBorder="1" applyProtection="1"/>
    <xf numFmtId="43" fontId="26" fillId="0" borderId="11" xfId="0" applyNumberFormat="1" applyFont="1" applyBorder="1" applyProtection="1"/>
    <xf numFmtId="43" fontId="0" fillId="0" borderId="7" xfId="0" applyNumberFormat="1" applyFont="1" applyFill="1" applyBorder="1" applyProtection="1"/>
    <xf numFmtId="43" fontId="0" fillId="0" borderId="9" xfId="0" applyNumberFormat="1" applyFont="1" applyFill="1" applyBorder="1" applyAlignment="1" applyProtection="1">
      <alignment horizontal="left" indent="5"/>
    </xf>
    <xf numFmtId="166" fontId="0" fillId="0" borderId="8" xfId="0" applyNumberFormat="1" applyFont="1" applyFill="1" applyBorder="1" applyProtection="1"/>
    <xf numFmtId="43" fontId="26" fillId="0" borderId="6" xfId="0" applyNumberFormat="1" applyFont="1" applyBorder="1" applyProtection="1"/>
    <xf numFmtId="43" fontId="0" fillId="0" borderId="9" xfId="0" applyNumberFormat="1" applyFont="1" applyFill="1" applyBorder="1" applyProtection="1"/>
    <xf numFmtId="43" fontId="0" fillId="0" borderId="8" xfId="0" applyNumberFormat="1" applyFont="1" applyFill="1" applyBorder="1" applyProtection="1"/>
    <xf numFmtId="43" fontId="0" fillId="0" borderId="5" xfId="0" applyNumberFormat="1" applyFont="1" applyBorder="1" applyAlignment="1" applyProtection="1">
      <alignment horizontal="center" wrapText="1"/>
    </xf>
    <xf numFmtId="164" fontId="31" fillId="0" borderId="0" xfId="0" applyNumberFormat="1" applyFont="1" applyAlignment="1" applyProtection="1">
      <alignment vertical="center"/>
    </xf>
    <xf numFmtId="0" fontId="23" fillId="4" borderId="13" xfId="17" applyFont="1" applyFill="1" applyBorder="1" applyAlignment="1" applyProtection="1">
      <alignment horizontal="left" vertical="center" wrapText="1"/>
    </xf>
    <xf numFmtId="0" fontId="23" fillId="4" borderId="17" xfId="17" applyFont="1" applyFill="1" applyBorder="1" applyAlignment="1" applyProtection="1">
      <alignment horizontal="center" vertical="center"/>
    </xf>
    <xf numFmtId="0" fontId="23" fillId="4" borderId="18" xfId="17" applyFont="1" applyFill="1" applyBorder="1" applyAlignment="1" applyProtection="1">
      <alignment horizontal="left" vertical="center" wrapText="1"/>
    </xf>
    <xf numFmtId="0" fontId="23" fillId="4" borderId="19" xfId="17" applyFont="1" applyFill="1" applyBorder="1" applyAlignment="1" applyProtection="1">
      <alignment horizontal="center" vertical="center" wrapText="1"/>
    </xf>
    <xf numFmtId="0" fontId="23" fillId="4" borderId="18" xfId="17" applyFont="1" applyFill="1" applyBorder="1" applyAlignment="1" applyProtection="1">
      <alignment horizontal="center" vertical="center" wrapText="1"/>
    </xf>
    <xf numFmtId="166" fontId="0" fillId="0" borderId="3" xfId="0" applyNumberFormat="1" applyFont="1" applyFill="1" applyBorder="1" applyProtection="1"/>
    <xf numFmtId="166" fontId="0" fillId="0" borderId="2" xfId="0" applyNumberFormat="1" applyFont="1" applyFill="1" applyBorder="1" applyProtection="1"/>
    <xf numFmtId="0" fontId="29" fillId="9" borderId="11" xfId="0" applyFont="1" applyFill="1" applyBorder="1" applyAlignment="1" applyProtection="1">
      <alignment horizontal="left" vertical="center" wrapText="1"/>
    </xf>
    <xf numFmtId="166" fontId="0" fillId="9" borderId="3" xfId="0" applyNumberFormat="1" applyFont="1" applyFill="1" applyBorder="1" applyProtection="1"/>
    <xf numFmtId="166" fontId="0" fillId="9" borderId="0" xfId="0" applyNumberFormat="1" applyFont="1" applyFill="1" applyBorder="1" applyProtection="1"/>
    <xf numFmtId="166" fontId="0" fillId="9" borderId="2" xfId="0" applyNumberFormat="1" applyFont="1" applyFill="1" applyBorder="1" applyProtection="1"/>
    <xf numFmtId="0" fontId="29" fillId="0" borderId="11" xfId="17" applyFont="1" applyFill="1" applyBorder="1" applyAlignment="1" applyProtection="1"/>
    <xf numFmtId="10" fontId="0" fillId="0" borderId="3" xfId="0" applyNumberFormat="1" applyFont="1" applyBorder="1" applyProtection="1"/>
    <xf numFmtId="10" fontId="0" fillId="0" borderId="0" xfId="0" applyNumberFormat="1" applyFont="1" applyBorder="1" applyProtection="1"/>
    <xf numFmtId="10" fontId="0" fillId="0" borderId="2" xfId="0" applyNumberFormat="1" applyFont="1" applyBorder="1" applyProtection="1"/>
    <xf numFmtId="0" fontId="36" fillId="0" borderId="2" xfId="0" applyFont="1" applyBorder="1" applyProtection="1"/>
    <xf numFmtId="0" fontId="29" fillId="0" borderId="6" xfId="17" applyFont="1" applyFill="1" applyBorder="1" applyAlignment="1" applyProtection="1"/>
    <xf numFmtId="10" fontId="0" fillId="0" borderId="7" xfId="0" applyNumberFormat="1" applyFont="1" applyBorder="1" applyProtection="1"/>
    <xf numFmtId="10" fontId="0" fillId="0" borderId="8" xfId="0" applyNumberFormat="1" applyFont="1" applyBorder="1" applyProtection="1"/>
    <xf numFmtId="10" fontId="0" fillId="0" borderId="9" xfId="0" applyNumberFormat="1" applyFont="1" applyBorder="1" applyProtection="1"/>
    <xf numFmtId="0" fontId="36" fillId="0" borderId="9" xfId="0" applyFont="1" applyBorder="1" applyProtection="1"/>
    <xf numFmtId="0" fontId="36" fillId="0" borderId="0" xfId="0" applyFont="1" applyProtection="1"/>
    <xf numFmtId="0" fontId="50" fillId="0" borderId="0" xfId="0" applyFont="1" applyProtection="1"/>
    <xf numFmtId="0" fontId="23" fillId="0" borderId="0" xfId="17" applyFont="1" applyFill="1" applyBorder="1" applyAlignment="1" applyProtection="1">
      <alignment vertical="center" wrapText="1"/>
    </xf>
    <xf numFmtId="0" fontId="23" fillId="0" borderId="0" xfId="17" applyFont="1" applyFill="1" applyBorder="1" applyAlignment="1" applyProtection="1">
      <alignment horizontal="center" vertical="center"/>
    </xf>
    <xf numFmtId="9" fontId="21" fillId="0" borderId="5" xfId="19" applyNumberFormat="1" applyFont="1" applyFill="1" applyBorder="1" applyProtection="1"/>
    <xf numFmtId="9" fontId="21" fillId="0" borderId="17" xfId="19" applyNumberFormat="1" applyFont="1" applyFill="1" applyBorder="1" applyProtection="1"/>
    <xf numFmtId="0" fontId="36" fillId="0" borderId="0" xfId="0" applyFont="1" applyFill="1" applyBorder="1" applyProtection="1"/>
    <xf numFmtId="9" fontId="21" fillId="0" borderId="0" xfId="19" applyNumberFormat="1" applyFont="1" applyFill="1" applyBorder="1" applyProtection="1"/>
    <xf numFmtId="9" fontId="21" fillId="0" borderId="2" xfId="19" applyNumberFormat="1" applyFont="1" applyFill="1" applyBorder="1" applyProtection="1"/>
    <xf numFmtId="9" fontId="21" fillId="0" borderId="8" xfId="19" applyNumberFormat="1" applyFont="1" applyFill="1" applyBorder="1" applyProtection="1"/>
    <xf numFmtId="9" fontId="21" fillId="0" borderId="9" xfId="19" applyNumberFormat="1" applyFont="1" applyFill="1" applyBorder="1" applyProtection="1"/>
    <xf numFmtId="0" fontId="29" fillId="9" borderId="13" xfId="0" applyFont="1" applyFill="1" applyBorder="1" applyAlignment="1" applyProtection="1">
      <alignment horizontal="left" vertical="center" wrapText="1"/>
    </xf>
    <xf numFmtId="166" fontId="21" fillId="9" borderId="5" xfId="2" applyNumberFormat="1" applyFont="1" applyFill="1" applyBorder="1" applyProtection="1"/>
    <xf numFmtId="166" fontId="21" fillId="0" borderId="0" xfId="2" applyNumberFormat="1" applyFont="1" applyFill="1" applyBorder="1" applyProtection="1"/>
    <xf numFmtId="166" fontId="21" fillId="9" borderId="0" xfId="2" applyNumberFormat="1" applyFont="1" applyFill="1" applyBorder="1" applyProtection="1"/>
    <xf numFmtId="0" fontId="0" fillId="0" borderId="11" xfId="0" applyBorder="1" applyProtection="1"/>
    <xf numFmtId="0" fontId="0" fillId="0" borderId="6" xfId="0" applyBorder="1" applyProtection="1"/>
    <xf numFmtId="0" fontId="61" fillId="0" borderId="0" xfId="0" applyFont="1" applyAlignment="1" applyProtection="1"/>
    <xf numFmtId="0" fontId="62" fillId="0" borderId="0" xfId="0" applyFont="1" applyAlignment="1" applyProtection="1"/>
    <xf numFmtId="0" fontId="43" fillId="0" borderId="0" xfId="0" applyFont="1" applyFill="1" applyBorder="1" applyProtection="1"/>
    <xf numFmtId="0" fontId="57" fillId="0" borderId="0" xfId="17" applyFont="1" applyFill="1" applyBorder="1" applyAlignment="1" applyProtection="1">
      <alignment horizontal="center"/>
    </xf>
    <xf numFmtId="0" fontId="26" fillId="0" borderId="0" xfId="0" applyFont="1" applyFill="1" applyBorder="1" applyProtection="1"/>
    <xf numFmtId="0" fontId="45" fillId="0" borderId="0" xfId="17" applyFont="1" applyFill="1" applyBorder="1" applyAlignment="1" applyProtection="1"/>
    <xf numFmtId="0" fontId="45" fillId="7" borderId="18" xfId="17" applyFont="1" applyFill="1" applyBorder="1" applyAlignment="1" applyProtection="1">
      <alignment horizontal="center"/>
    </xf>
    <xf numFmtId="166" fontId="42" fillId="0" borderId="29" xfId="2" applyNumberFormat="1" applyFont="1" applyBorder="1" applyAlignment="1" applyProtection="1">
      <alignment horizontal="right"/>
    </xf>
    <xf numFmtId="166" fontId="42" fillId="0" borderId="30" xfId="2" applyNumberFormat="1" applyFont="1" applyBorder="1" applyAlignment="1" applyProtection="1">
      <alignment horizontal="right"/>
    </xf>
    <xf numFmtId="173" fontId="42" fillId="0" borderId="25" xfId="19" applyNumberFormat="1" applyFont="1" applyBorder="1" applyAlignment="1" applyProtection="1"/>
    <xf numFmtId="173" fontId="42" fillId="0" borderId="26" xfId="19" applyNumberFormat="1" applyFont="1" applyBorder="1" applyAlignment="1" applyProtection="1"/>
    <xf numFmtId="166" fontId="42" fillId="0" borderId="27" xfId="2" applyNumberFormat="1" applyFont="1" applyBorder="1" applyAlignment="1" applyProtection="1">
      <alignment horizontal="right"/>
    </xf>
    <xf numFmtId="166" fontId="42" fillId="0" borderId="28" xfId="2" applyNumberFormat="1" applyFont="1" applyBorder="1" applyAlignment="1" applyProtection="1">
      <alignment horizontal="right"/>
    </xf>
    <xf numFmtId="0" fontId="43" fillId="0" borderId="0" xfId="0" applyFont="1" applyAlignment="1" applyProtection="1"/>
    <xf numFmtId="0" fontId="26" fillId="0" borderId="0" xfId="0" applyFont="1" applyProtection="1"/>
    <xf numFmtId="0" fontId="43" fillId="0" borderId="3" xfId="0" applyFont="1" applyBorder="1" applyProtection="1"/>
    <xf numFmtId="0" fontId="43" fillId="0" borderId="0" xfId="0" applyFont="1" applyBorder="1" applyProtection="1"/>
    <xf numFmtId="0" fontId="26" fillId="0" borderId="0" xfId="0" applyFont="1" applyBorder="1" applyProtection="1"/>
    <xf numFmtId="0" fontId="26" fillId="0" borderId="2" xfId="0" applyFont="1" applyBorder="1" applyProtection="1"/>
    <xf numFmtId="0" fontId="45" fillId="7" borderId="21" xfId="17" applyFont="1" applyFill="1" applyBorder="1" applyAlignment="1" applyProtection="1">
      <alignment horizontal="center" wrapText="1"/>
    </xf>
    <xf numFmtId="0" fontId="45" fillId="7" borderId="22" xfId="17" applyFont="1" applyFill="1" applyBorder="1" applyAlignment="1" applyProtection="1">
      <alignment horizontal="center" wrapText="1"/>
    </xf>
    <xf numFmtId="0" fontId="42" fillId="0" borderId="13" xfId="0" applyFont="1" applyBorder="1" applyProtection="1"/>
    <xf numFmtId="0" fontId="42" fillId="0" borderId="12" xfId="0" applyFont="1" applyBorder="1" applyProtection="1"/>
    <xf numFmtId="0" fontId="42" fillId="0" borderId="5" xfId="0" applyFont="1" applyBorder="1" applyProtection="1"/>
    <xf numFmtId="0" fontId="42" fillId="0" borderId="17" xfId="0" applyFont="1" applyBorder="1" applyProtection="1"/>
    <xf numFmtId="0" fontId="42" fillId="0" borderId="3" xfId="0" applyFont="1" applyBorder="1" applyProtection="1"/>
    <xf numFmtId="0" fontId="42" fillId="0" borderId="0" xfId="0" applyFont="1" applyBorder="1" applyProtection="1"/>
    <xf numFmtId="0" fontId="42" fillId="0" borderId="2" xfId="0" applyFont="1" applyBorder="1" applyProtection="1"/>
    <xf numFmtId="166" fontId="42" fillId="0" borderId="20" xfId="2" applyNumberFormat="1" applyFont="1" applyBorder="1" applyAlignment="1" applyProtection="1"/>
    <xf numFmtId="166" fontId="42" fillId="0" borderId="2" xfId="2" applyNumberFormat="1" applyFont="1" applyBorder="1" applyAlignment="1" applyProtection="1"/>
    <xf numFmtId="10" fontId="42" fillId="0" borderId="20" xfId="0" applyNumberFormat="1" applyFont="1" applyBorder="1" applyAlignment="1" applyProtection="1">
      <alignment horizontal="right"/>
    </xf>
    <xf numFmtId="10" fontId="42" fillId="0" borderId="2" xfId="0" applyNumberFormat="1" applyFont="1" applyBorder="1" applyAlignment="1" applyProtection="1">
      <alignment horizontal="right"/>
    </xf>
    <xf numFmtId="0" fontId="42" fillId="0" borderId="0" xfId="0" applyFont="1" applyBorder="1" applyAlignment="1" applyProtection="1"/>
    <xf numFmtId="0" fontId="42" fillId="0" borderId="0" xfId="0" applyFont="1" applyFill="1" applyProtection="1"/>
    <xf numFmtId="0" fontId="42" fillId="0" borderId="7" xfId="0" applyFont="1" applyBorder="1" applyProtection="1"/>
    <xf numFmtId="0" fontId="42" fillId="0" borderId="8" xfId="0" applyFont="1" applyBorder="1" applyProtection="1"/>
    <xf numFmtId="0" fontId="0" fillId="0" borderId="0" xfId="0" applyBorder="1" applyProtection="1"/>
    <xf numFmtId="10" fontId="42" fillId="0" borderId="23" xfId="0" applyNumberFormat="1" applyFont="1" applyBorder="1" applyAlignment="1" applyProtection="1">
      <alignment horizontal="right"/>
    </xf>
    <xf numFmtId="10" fontId="42" fillId="0" borderId="9" xfId="0" applyNumberFormat="1" applyFont="1" applyBorder="1" applyAlignment="1" applyProtection="1">
      <alignment horizontal="right"/>
    </xf>
    <xf numFmtId="0" fontId="42" fillId="0" borderId="0" xfId="0" applyFont="1" applyFill="1" applyBorder="1" applyProtection="1"/>
    <xf numFmtId="166" fontId="42" fillId="0" borderId="0" xfId="2" applyNumberFormat="1" applyFont="1" applyBorder="1" applyAlignment="1" applyProtection="1"/>
    <xf numFmtId="0" fontId="42" fillId="0" borderId="0" xfId="0" applyFont="1" applyProtection="1"/>
    <xf numFmtId="0" fontId="44" fillId="0" borderId="0" xfId="0" applyFont="1" applyAlignment="1" applyProtection="1"/>
    <xf numFmtId="10" fontId="42" fillId="0" borderId="12" xfId="19" applyNumberFormat="1" applyFont="1" applyBorder="1" applyAlignment="1" applyProtection="1">
      <alignment horizontal="center"/>
    </xf>
    <xf numFmtId="10" fontId="42" fillId="0" borderId="17" xfId="19" applyNumberFormat="1" applyFont="1" applyBorder="1" applyAlignment="1" applyProtection="1">
      <alignment horizontal="center"/>
    </xf>
    <xf numFmtId="0" fontId="45" fillId="7" borderId="114" xfId="0" applyFont="1" applyFill="1" applyBorder="1" applyAlignment="1" applyProtection="1">
      <alignment horizontal="center"/>
    </xf>
    <xf numFmtId="0" fontId="45" fillId="7" borderId="19" xfId="0" applyFont="1" applyFill="1" applyBorder="1" applyAlignment="1" applyProtection="1">
      <alignment horizontal="center"/>
    </xf>
    <xf numFmtId="0" fontId="45" fillId="7" borderId="24" xfId="0" applyFont="1" applyFill="1" applyBorder="1" applyAlignment="1" applyProtection="1">
      <alignment horizontal="center"/>
    </xf>
    <xf numFmtId="0" fontId="61" fillId="0" borderId="0" xfId="0" applyFont="1" applyAlignment="1" applyProtection="1">
      <alignment horizontal="center"/>
    </xf>
    <xf numFmtId="0" fontId="45" fillId="7" borderId="115" xfId="17" applyFont="1" applyFill="1" applyBorder="1" applyAlignment="1" applyProtection="1">
      <alignment horizontal="center"/>
    </xf>
    <xf numFmtId="0" fontId="45" fillId="7" borderId="116" xfId="17" applyFont="1" applyFill="1" applyBorder="1" applyAlignment="1" applyProtection="1">
      <alignment horizontal="center"/>
    </xf>
    <xf numFmtId="0" fontId="45" fillId="7" borderId="117" xfId="17" applyFont="1" applyFill="1" applyBorder="1" applyAlignment="1" applyProtection="1">
      <alignment horizontal="center"/>
    </xf>
    <xf numFmtId="0" fontId="45" fillId="7" borderId="12" xfId="0" applyFont="1" applyFill="1" applyBorder="1" applyAlignment="1" applyProtection="1">
      <alignment horizontal="left" vertical="center"/>
    </xf>
    <xf numFmtId="0" fontId="45" fillId="7" borderId="5" xfId="0" applyFont="1" applyFill="1" applyBorder="1" applyAlignment="1" applyProtection="1">
      <alignment horizontal="left" vertical="center"/>
    </xf>
    <xf numFmtId="0" fontId="45" fillId="7" borderId="17" xfId="0" applyFont="1" applyFill="1" applyBorder="1" applyAlignment="1" applyProtection="1">
      <alignment horizontal="left" vertical="center"/>
    </xf>
    <xf numFmtId="0" fontId="45" fillId="7" borderId="3" xfId="0" applyFont="1" applyFill="1" applyBorder="1" applyAlignment="1" applyProtection="1">
      <alignment horizontal="left" vertical="center"/>
    </xf>
    <xf numFmtId="0" fontId="45" fillId="7" borderId="0" xfId="0" applyFont="1" applyFill="1" applyBorder="1" applyAlignment="1" applyProtection="1">
      <alignment horizontal="left" vertical="center"/>
    </xf>
    <xf numFmtId="0" fontId="45" fillId="7" borderId="2" xfId="0" applyFont="1" applyFill="1" applyBorder="1" applyAlignment="1" applyProtection="1">
      <alignment horizontal="left" vertical="center"/>
    </xf>
    <xf numFmtId="0" fontId="62" fillId="0" borderId="0" xfId="0" applyFont="1" applyAlignment="1" applyProtection="1">
      <alignment horizontal="center"/>
    </xf>
    <xf numFmtId="0" fontId="68" fillId="7" borderId="12" xfId="0" applyFont="1" applyFill="1" applyBorder="1" applyAlignment="1" applyProtection="1">
      <alignment horizontal="center"/>
    </xf>
    <xf numFmtId="0" fontId="68" fillId="7" borderId="5" xfId="0" applyFont="1" applyFill="1" applyBorder="1" applyAlignment="1" applyProtection="1">
      <alignment horizontal="center"/>
    </xf>
    <xf numFmtId="0" fontId="68" fillId="7" borderId="17" xfId="0" applyFont="1" applyFill="1" applyBorder="1" applyAlignment="1" applyProtection="1">
      <alignment horizontal="center"/>
    </xf>
    <xf numFmtId="0" fontId="23" fillId="4" borderId="115" xfId="17" applyFont="1" applyFill="1" applyBorder="1" applyAlignment="1" applyProtection="1">
      <alignment horizontal="center"/>
    </xf>
    <xf numFmtId="0" fontId="23" fillId="4" borderId="117" xfId="17" applyFont="1" applyFill="1" applyBorder="1" applyAlignment="1" applyProtection="1">
      <alignment horizontal="center"/>
    </xf>
    <xf numFmtId="0" fontId="23" fillId="4" borderId="116" xfId="17" applyFont="1" applyFill="1" applyBorder="1" applyAlignment="1" applyProtection="1">
      <alignment horizontal="center"/>
    </xf>
    <xf numFmtId="0" fontId="23" fillId="15" borderId="13" xfId="0" applyFont="1" applyFill="1" applyBorder="1" applyAlignment="1" applyProtection="1">
      <alignment horizontal="left" vertical="center"/>
    </xf>
    <xf numFmtId="0" fontId="23" fillId="15" borderId="11" xfId="0" applyFont="1" applyFill="1" applyBorder="1" applyAlignment="1" applyProtection="1">
      <alignment horizontal="left" vertical="center"/>
    </xf>
    <xf numFmtId="0" fontId="47" fillId="0" borderId="0" xfId="17" applyFont="1" applyFill="1" applyBorder="1" applyAlignment="1" applyProtection="1">
      <alignment horizontal="center" vertical="center"/>
    </xf>
    <xf numFmtId="0" fontId="23" fillId="4" borderId="115" xfId="17" applyFont="1" applyFill="1" applyBorder="1" applyAlignment="1" applyProtection="1">
      <alignment horizontal="center" vertical="center"/>
    </xf>
    <xf numFmtId="0" fontId="23" fillId="4" borderId="117" xfId="17" applyFont="1" applyFill="1" applyBorder="1" applyAlignment="1" applyProtection="1">
      <alignment horizontal="center" vertical="center"/>
    </xf>
    <xf numFmtId="0" fontId="23" fillId="4" borderId="116" xfId="17" applyFont="1" applyFill="1" applyBorder="1" applyAlignment="1" applyProtection="1">
      <alignment horizontal="center" vertical="center"/>
    </xf>
    <xf numFmtId="0" fontId="23" fillId="4" borderId="13" xfId="17" applyFont="1" applyFill="1" applyBorder="1" applyAlignment="1" applyProtection="1">
      <alignment horizontal="center" vertical="center" wrapText="1"/>
    </xf>
    <xf numFmtId="0" fontId="23" fillId="4" borderId="6" xfId="17" applyFont="1" applyFill="1" applyBorder="1" applyAlignment="1" applyProtection="1">
      <alignment horizontal="center" vertical="center" wrapText="1"/>
    </xf>
    <xf numFmtId="0" fontId="47" fillId="0" borderId="0" xfId="17" applyFont="1" applyFill="1" applyBorder="1" applyAlignment="1" applyProtection="1">
      <alignment horizontal="center"/>
    </xf>
    <xf numFmtId="0" fontId="47" fillId="0" borderId="0" xfId="17" applyFont="1" applyFill="1" applyBorder="1" applyAlignment="1" applyProtection="1">
      <alignment horizontal="left" vertical="center" wrapText="1"/>
    </xf>
    <xf numFmtId="0" fontId="29" fillId="0" borderId="0" xfId="17" applyFont="1" applyBorder="1" applyAlignment="1" applyProtection="1">
      <alignment horizontal="left" vertical="center" wrapText="1"/>
    </xf>
    <xf numFmtId="0" fontId="23" fillId="0" borderId="0" xfId="0" applyFont="1" applyFill="1" applyBorder="1" applyAlignment="1" applyProtection="1">
      <alignment horizontal="left" vertical="center"/>
    </xf>
    <xf numFmtId="0" fontId="23" fillId="4" borderId="11" xfId="17" applyFont="1" applyFill="1" applyBorder="1" applyAlignment="1" applyProtection="1">
      <alignment horizontal="center" vertical="center" wrapText="1"/>
    </xf>
    <xf numFmtId="0" fontId="23" fillId="4" borderId="12" xfId="0" applyFont="1" applyFill="1" applyBorder="1" applyAlignment="1" applyProtection="1">
      <alignment horizontal="left" vertical="center"/>
    </xf>
    <xf numFmtId="0" fontId="23" fillId="4" borderId="7" xfId="0" applyFont="1" applyFill="1" applyBorder="1" applyAlignment="1" applyProtection="1">
      <alignment horizontal="left" vertical="center"/>
    </xf>
    <xf numFmtId="0" fontId="23" fillId="4" borderId="115" xfId="17" applyFont="1" applyFill="1" applyBorder="1" applyAlignment="1" applyProtection="1">
      <alignment horizontal="left"/>
    </xf>
    <xf numFmtId="0" fontId="23" fillId="4" borderId="117" xfId="17" applyFont="1" applyFill="1" applyBorder="1" applyAlignment="1" applyProtection="1">
      <alignment horizontal="left"/>
    </xf>
    <xf numFmtId="0" fontId="23" fillId="4" borderId="116" xfId="17" applyFont="1" applyFill="1" applyBorder="1" applyAlignment="1" applyProtection="1">
      <alignment horizontal="left"/>
    </xf>
    <xf numFmtId="0" fontId="23" fillId="4" borderId="13" xfId="0" applyFont="1" applyFill="1" applyBorder="1" applyAlignment="1" applyProtection="1">
      <alignment vertical="center"/>
    </xf>
    <xf numFmtId="0" fontId="23" fillId="4" borderId="11" xfId="0" applyFont="1" applyFill="1" applyBorder="1" applyAlignment="1" applyProtection="1">
      <alignment vertical="center"/>
    </xf>
    <xf numFmtId="0" fontId="23" fillId="4" borderId="13" xfId="0" applyFont="1" applyFill="1" applyBorder="1" applyAlignment="1" applyProtection="1">
      <alignment horizontal="left" vertical="center"/>
    </xf>
    <xf numFmtId="0" fontId="23" fillId="4" borderId="11" xfId="0" applyFont="1" applyFill="1" applyBorder="1" applyAlignment="1" applyProtection="1">
      <alignment horizontal="left" vertical="center"/>
    </xf>
    <xf numFmtId="0" fontId="23" fillId="4" borderId="0" xfId="0" applyFont="1" applyFill="1" applyBorder="1" applyAlignment="1" applyProtection="1">
      <alignment horizontal="left" vertical="center"/>
    </xf>
    <xf numFmtId="164" fontId="4" fillId="0" borderId="0" xfId="0" applyNumberFormat="1" applyFont="1" applyAlignment="1" applyProtection="1">
      <alignment horizontal="left" vertical="justify" indent="1"/>
    </xf>
    <xf numFmtId="164" fontId="4" fillId="0" borderId="0" xfId="0" applyNumberFormat="1" applyFont="1" applyAlignment="1" applyProtection="1">
      <alignment horizontal="left" vertical="center" wrapText="1" indent="4"/>
    </xf>
    <xf numFmtId="0" fontId="1" fillId="0" borderId="12" xfId="17" applyFont="1" applyFill="1" applyBorder="1" applyAlignment="1" applyProtection="1">
      <alignment horizontal="left" vertical="center" wrapText="1"/>
    </xf>
    <xf numFmtId="0" fontId="4" fillId="0" borderId="10" xfId="17" applyFont="1" applyBorder="1" applyAlignment="1" applyProtection="1">
      <alignment horizontal="left" vertical="center" wrapText="1"/>
    </xf>
    <xf numFmtId="0" fontId="1" fillId="0" borderId="5" xfId="17" applyFont="1" applyFill="1" applyBorder="1" applyAlignment="1" applyProtection="1">
      <alignment horizontal="right" vertical="center" wrapText="1"/>
    </xf>
    <xf numFmtId="0" fontId="4" fillId="0" borderId="1" xfId="17" applyFont="1" applyFill="1" applyBorder="1" applyAlignment="1" applyProtection="1">
      <alignment horizontal="right" vertical="center" wrapText="1"/>
    </xf>
    <xf numFmtId="0" fontId="1" fillId="0" borderId="115" xfId="17" applyFont="1" applyFill="1" applyBorder="1" applyAlignment="1" applyProtection="1">
      <alignment horizontal="center" vertical="center"/>
    </xf>
    <xf numFmtId="0" fontId="1" fillId="0" borderId="117" xfId="17" applyFont="1" applyFill="1" applyBorder="1" applyAlignment="1" applyProtection="1">
      <alignment horizontal="center" vertical="center"/>
    </xf>
    <xf numFmtId="0" fontId="1" fillId="0" borderId="116" xfId="17" applyFont="1" applyFill="1" applyBorder="1" applyAlignment="1" applyProtection="1">
      <alignment horizontal="center" vertical="center"/>
    </xf>
    <xf numFmtId="0" fontId="4" fillId="0" borderId="0" xfId="15" applyFont="1" applyAlignment="1" applyProtection="1">
      <alignment horizontal="left" vertical="center" wrapText="1" indent="1"/>
    </xf>
    <xf numFmtId="0" fontId="11" fillId="0" borderId="0" xfId="6" applyFont="1" applyAlignment="1">
      <alignment horizontal="justify" vertical="top" wrapText="1"/>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4"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9" fillId="0" borderId="11" xfId="0" applyFont="1" applyBorder="1"/>
    <xf numFmtId="0" fontId="29" fillId="0" borderId="6" xfId="0" applyFont="1" applyBorder="1"/>
    <xf numFmtId="3" fontId="1" fillId="0" borderId="11"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3" fontId="1" fillId="0" borderId="114"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4" xfId="0" applyNumberFormat="1" applyFont="1" applyBorder="1" applyAlignment="1">
      <alignment horizontal="center" vertical="center"/>
    </xf>
    <xf numFmtId="3" fontId="1" fillId="0" borderId="114"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4" xfId="0" applyNumberFormat="1" applyFont="1" applyBorder="1" applyAlignment="1">
      <alignment horizontal="center" vertical="center" wrapText="1"/>
    </xf>
    <xf numFmtId="0" fontId="4" fillId="0" borderId="0" xfId="0" applyFont="1" applyBorder="1" applyAlignment="1">
      <alignment horizontal="left" wrapText="1"/>
    </xf>
    <xf numFmtId="0" fontId="4" fillId="0" borderId="2" xfId="0" applyFont="1" applyBorder="1" applyAlignment="1">
      <alignment horizontal="left" wrapText="1"/>
    </xf>
    <xf numFmtId="0" fontId="11" fillId="0" borderId="0" xfId="0" applyFont="1" applyBorder="1" applyAlignment="1">
      <alignment horizontal="justify" vertical="top" wrapText="1"/>
    </xf>
    <xf numFmtId="0" fontId="3" fillId="13" borderId="31" xfId="0" applyFont="1" applyFill="1" applyBorder="1" applyAlignment="1" applyProtection="1">
      <alignment horizontal="center" textRotation="90"/>
    </xf>
    <xf numFmtId="0" fontId="3" fillId="13" borderId="35" xfId="0" applyFont="1" applyFill="1" applyBorder="1" applyAlignment="1" applyProtection="1">
      <alignment horizontal="center" textRotation="90"/>
    </xf>
    <xf numFmtId="0" fontId="3" fillId="13" borderId="107" xfId="0" applyFont="1" applyFill="1" applyBorder="1" applyAlignment="1" applyProtection="1">
      <alignment horizontal="center" textRotation="90"/>
    </xf>
    <xf numFmtId="0" fontId="3" fillId="0" borderId="118" xfId="0" applyFont="1" applyFill="1" applyBorder="1" applyAlignment="1" applyProtection="1">
      <alignment horizontal="center" vertical="center" wrapText="1"/>
    </xf>
    <xf numFmtId="0" fontId="3" fillId="0" borderId="119" xfId="0" applyFont="1" applyFill="1" applyBorder="1" applyAlignment="1" applyProtection="1">
      <alignment horizontal="center" vertical="center" wrapText="1"/>
    </xf>
    <xf numFmtId="0" fontId="3" fillId="0" borderId="120" xfId="0" applyFont="1" applyFill="1" applyBorder="1" applyAlignment="1" applyProtection="1">
      <alignment horizontal="center" vertical="center" wrapText="1"/>
    </xf>
    <xf numFmtId="3" fontId="32" fillId="0" borderId="72" xfId="0" applyNumberFormat="1" applyFont="1" applyFill="1" applyBorder="1" applyAlignment="1" applyProtection="1">
      <alignment horizontal="center"/>
    </xf>
    <xf numFmtId="3" fontId="32" fillId="0" borderId="73" xfId="0" applyNumberFormat="1" applyFont="1" applyFill="1" applyBorder="1" applyAlignment="1" applyProtection="1">
      <alignment horizontal="center"/>
    </xf>
    <xf numFmtId="3" fontId="32" fillId="0" borderId="74" xfId="0" applyNumberFormat="1" applyFont="1" applyFill="1" applyBorder="1" applyAlignment="1" applyProtection="1">
      <alignment horizontal="center"/>
    </xf>
    <xf numFmtId="3" fontId="32" fillId="0" borderId="79" xfId="0" applyNumberFormat="1" applyFont="1" applyFill="1" applyBorder="1" applyAlignment="1" applyProtection="1">
      <alignment horizontal="center"/>
    </xf>
    <xf numFmtId="3" fontId="32" fillId="0" borderId="0" xfId="0" applyNumberFormat="1" applyFont="1" applyFill="1" applyBorder="1" applyAlignment="1" applyProtection="1">
      <alignment horizontal="center"/>
    </xf>
    <xf numFmtId="3" fontId="32" fillId="0" borderId="32" xfId="0" applyNumberFormat="1" applyFont="1" applyFill="1" applyBorder="1" applyAlignment="1" applyProtection="1">
      <alignment horizontal="center"/>
    </xf>
    <xf numFmtId="3" fontId="32" fillId="0" borderId="85" xfId="0" applyNumberFormat="1" applyFont="1" applyFill="1" applyBorder="1" applyAlignment="1" applyProtection="1">
      <alignment horizontal="center"/>
    </xf>
    <xf numFmtId="3" fontId="32" fillId="0" borderId="86" xfId="0" applyNumberFormat="1" applyFont="1" applyFill="1" applyBorder="1" applyAlignment="1" applyProtection="1">
      <alignment horizontal="center"/>
    </xf>
    <xf numFmtId="3" fontId="32" fillId="0" borderId="87" xfId="0" applyNumberFormat="1" applyFont="1" applyFill="1" applyBorder="1" applyAlignment="1" applyProtection="1">
      <alignment horizontal="center"/>
    </xf>
    <xf numFmtId="0" fontId="3" fillId="0" borderId="121" xfId="0" applyFont="1" applyFill="1" applyBorder="1" applyAlignment="1" applyProtection="1">
      <alignment horizontal="center" vertical="center" wrapText="1"/>
    </xf>
    <xf numFmtId="0" fontId="3" fillId="0" borderId="88"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13" borderId="122" xfId="0" applyFont="1" applyFill="1" applyBorder="1" applyAlignment="1" applyProtection="1">
      <alignment horizontal="center"/>
    </xf>
    <xf numFmtId="0" fontId="3" fillId="13" borderId="123" xfId="0" applyFont="1" applyFill="1" applyBorder="1" applyAlignment="1" applyProtection="1">
      <alignment horizontal="center"/>
    </xf>
    <xf numFmtId="0" fontId="3" fillId="13" borderId="124" xfId="0" applyFont="1" applyFill="1" applyBorder="1" applyAlignment="1" applyProtection="1">
      <alignment horizontal="center"/>
    </xf>
    <xf numFmtId="0" fontId="3" fillId="13" borderId="121" xfId="0" applyFont="1" applyFill="1" applyBorder="1" applyAlignment="1" applyProtection="1">
      <alignment horizontal="center" vertical="center" wrapText="1"/>
    </xf>
    <xf numFmtId="0" fontId="3" fillId="13" borderId="88" xfId="0" applyFont="1" applyFill="1" applyBorder="1" applyAlignment="1" applyProtection="1">
      <alignment horizontal="center" vertical="center" wrapText="1"/>
    </xf>
    <xf numFmtId="0" fontId="3" fillId="13" borderId="66" xfId="0" applyFont="1" applyFill="1" applyBorder="1" applyAlignment="1" applyProtection="1">
      <alignment horizontal="center" vertical="center" wrapText="1"/>
    </xf>
    <xf numFmtId="0" fontId="3" fillId="13" borderId="121" xfId="0" applyFont="1" applyFill="1" applyBorder="1" applyAlignment="1" applyProtection="1">
      <alignment horizontal="center" vertical="center"/>
    </xf>
    <xf numFmtId="0" fontId="3" fillId="13" borderId="88" xfId="0" applyFont="1" applyFill="1" applyBorder="1" applyAlignment="1" applyProtection="1">
      <alignment horizontal="center" vertical="center"/>
    </xf>
    <xf numFmtId="0" fontId="3" fillId="13" borderId="66" xfId="0" applyFont="1" applyFill="1" applyBorder="1" applyAlignment="1" applyProtection="1">
      <alignment horizontal="center" vertical="center"/>
    </xf>
    <xf numFmtId="0" fontId="23" fillId="4" borderId="114" xfId="17" applyFont="1" applyFill="1" applyBorder="1" applyAlignment="1" applyProtection="1">
      <alignment horizontal="left" vertical="center" wrapText="1"/>
    </xf>
    <xf numFmtId="0" fontId="23" fillId="4" borderId="19" xfId="17" applyFont="1" applyFill="1" applyBorder="1" applyAlignment="1" applyProtection="1">
      <alignment horizontal="left" vertical="center" wrapText="1"/>
    </xf>
    <xf numFmtId="0" fontId="23" fillId="4" borderId="24" xfId="17" applyFont="1" applyFill="1" applyBorder="1" applyAlignment="1" applyProtection="1">
      <alignment horizontal="left" vertical="center" wrapText="1"/>
    </xf>
    <xf numFmtId="0" fontId="23" fillId="4" borderId="7" xfId="17" applyFont="1" applyFill="1" applyBorder="1" applyAlignment="1" applyProtection="1">
      <alignment horizontal="left" vertical="center" wrapText="1"/>
    </xf>
    <xf numFmtId="0" fontId="23" fillId="4" borderId="8" xfId="17" applyFont="1" applyFill="1" applyBorder="1" applyAlignment="1" applyProtection="1">
      <alignment horizontal="left" vertical="center" wrapText="1"/>
    </xf>
    <xf numFmtId="0" fontId="42" fillId="0" borderId="125" xfId="0" applyFont="1" applyBorder="1" applyAlignment="1" applyProtection="1">
      <alignment horizontal="left"/>
    </xf>
    <xf numFmtId="0" fontId="42" fillId="0" borderId="126" xfId="0" applyFont="1" applyBorder="1" applyAlignment="1" applyProtection="1">
      <alignment horizontal="left"/>
    </xf>
    <xf numFmtId="0" fontId="42" fillId="0" borderId="127" xfId="0" applyFont="1" applyBorder="1" applyAlignment="1" applyProtection="1">
      <alignment horizontal="left"/>
    </xf>
    <xf numFmtId="0" fontId="45" fillId="7" borderId="7" xfId="0" applyFont="1" applyFill="1" applyBorder="1" applyAlignment="1" applyProtection="1">
      <alignment horizontal="left" vertical="center"/>
    </xf>
    <xf numFmtId="0" fontId="45" fillId="7" borderId="8" xfId="0" applyFont="1" applyFill="1" applyBorder="1" applyAlignment="1" applyProtection="1">
      <alignment horizontal="left" vertical="center"/>
    </xf>
    <xf numFmtId="0" fontId="45" fillId="7" borderId="9" xfId="0" applyFont="1" applyFill="1" applyBorder="1" applyAlignment="1" applyProtection="1">
      <alignment horizontal="left" vertical="center"/>
    </xf>
    <xf numFmtId="0" fontId="42" fillId="0" borderId="14" xfId="0" applyFont="1" applyBorder="1" applyAlignment="1" applyProtection="1">
      <alignment horizontal="left"/>
    </xf>
    <xf numFmtId="0" fontId="42" fillId="0" borderId="15" xfId="0" applyFont="1" applyBorder="1" applyAlignment="1" applyProtection="1">
      <alignment horizontal="left"/>
    </xf>
    <xf numFmtId="0" fontId="42" fillId="0" borderId="60" xfId="0" applyFont="1" applyBorder="1" applyAlignment="1" applyProtection="1">
      <alignment horizontal="left"/>
    </xf>
    <xf numFmtId="0" fontId="42" fillId="0" borderId="10" xfId="0" applyFont="1" applyBorder="1" applyAlignment="1" applyProtection="1">
      <alignment horizontal="left"/>
    </xf>
    <xf numFmtId="0" fontId="42" fillId="0" borderId="1" xfId="0" applyFont="1" applyBorder="1" applyAlignment="1" applyProtection="1">
      <alignment horizontal="left"/>
    </xf>
    <xf numFmtId="0" fontId="42" fillId="0" borderId="52" xfId="0" applyFont="1" applyBorder="1" applyAlignment="1" applyProtection="1">
      <alignment horizontal="left"/>
    </xf>
  </cellXfs>
  <cellStyles count="20">
    <cellStyle name="Comma" xfId="2" builtinId="3"/>
    <cellStyle name="Hyperlink" xfId="1" builtinId="8"/>
    <cellStyle name="Millares 2" xfId="3"/>
    <cellStyle name="Normal" xfId="0" builtinId="0"/>
    <cellStyle name="Normal 2" xfId="4"/>
    <cellStyle name="Normal 2 2" xfId="5"/>
    <cellStyle name="Normal 3" xfId="6"/>
    <cellStyle name="Normal 3 2" xfId="7"/>
    <cellStyle name="Normal 3 3" xfId="8"/>
    <cellStyle name="Normal 4" xfId="9"/>
    <cellStyle name="Normal 4 2" xfId="10"/>
    <cellStyle name="Normal 4 3" xfId="11"/>
    <cellStyle name="Normal 5" xfId="12"/>
    <cellStyle name="Normal_T02E01105" xfId="13"/>
    <cellStyle name="Normal_T03E01105" xfId="14"/>
    <cellStyle name="Normal_T08E01105" xfId="15"/>
    <cellStyle name="Normal_T09E01105" xfId="16"/>
    <cellStyle name="Normal_T10E01105" xfId="17"/>
    <cellStyle name="Normal_T30E01105" xfId="18"/>
    <cellStyle name="Percent" xfId="1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spPr>
            <a:solidFill>
              <a:schemeClr val="accent5">
                <a:lumMod val="60000"/>
                <a:lumOff val="40000"/>
              </a:schemeClr>
            </a:solidFill>
          </c:spPr>
          <c:invertIfNegative val="0"/>
          <c:cat>
            <c:strRef>
              <c:f>Construcción!$D$9:$H$9</c:f>
              <c:strCache>
                <c:ptCount val="5"/>
                <c:pt idx="0">
                  <c:v>65.53</c:v>
                </c:pt>
                <c:pt idx="1">
                  <c:v>65.54-131.06</c:v>
                </c:pt>
                <c:pt idx="2">
                  <c:v>131.07-196.59</c:v>
                </c:pt>
                <c:pt idx="3">
                  <c:v>196.60-327.65</c:v>
                </c:pt>
                <c:pt idx="4">
                  <c:v>327.66-1638.25</c:v>
                </c:pt>
              </c:strCache>
            </c:strRef>
          </c:cat>
          <c:val>
            <c:numRef>
              <c:f>Construcción!$D$26:$H$26</c:f>
              <c:numCache>
                <c:formatCode>_-* #,##0_-;\-* #,##0_-;_-* "-"??_-;_-@_-</c:formatCode>
                <c:ptCount val="5"/>
                <c:pt idx="1">
                  <c:v>717771.6387211676</c:v>
                </c:pt>
                <c:pt idx="2">
                  <c:v>1.49621183430396E6</c:v>
                </c:pt>
                <c:pt idx="3">
                  <c:v>895224.2226928391</c:v>
                </c:pt>
                <c:pt idx="4">
                  <c:v>242743.9083698799</c:v>
                </c:pt>
              </c:numCache>
            </c:numRef>
          </c:val>
        </c:ser>
        <c:ser>
          <c:idx val="0"/>
          <c:order val="1"/>
          <c:tx>
            <c:strRef>
              <c:f>Construcción!$A$25</c:f>
              <c:strCache>
                <c:ptCount val="1"/>
                <c:pt idx="0">
                  <c:v>Beneficiados</c:v>
                </c:pt>
              </c:strCache>
            </c:strRef>
          </c:tx>
          <c:spPr>
            <a:solidFill>
              <a:srgbClr val="0070C0"/>
            </a:solidFill>
          </c:spPr>
          <c:invertIfNegative val="0"/>
          <c:dPt>
            <c:idx val="1"/>
            <c:invertIfNegative val="0"/>
            <c:bubble3D val="0"/>
            <c:spPr>
              <a:solidFill>
                <a:srgbClr val="0070C0"/>
              </a:solidFill>
              <a:ln>
                <a:noFill/>
              </a:ln>
            </c:spPr>
          </c:dPt>
          <c:val>
            <c:numRef>
              <c:f>Construcción!$D$25:$H$25</c:f>
              <c:numCache>
                <c:formatCode>_-* #,##0_-;\-* #,##0_-;_-* "-"??_-;_-@_-</c:formatCode>
                <c:ptCount val="5"/>
                <c:pt idx="0">
                  <c:v>221587.1028840284</c:v>
                </c:pt>
                <c:pt idx="1">
                  <c:v>19332.29302811973</c:v>
                </c:pt>
                <c:pt idx="2">
                  <c:v>0.0</c:v>
                </c:pt>
                <c:pt idx="3">
                  <c:v>0.0</c:v>
                </c:pt>
                <c:pt idx="4">
                  <c:v>0.0</c:v>
                </c:pt>
              </c:numCache>
            </c:numRef>
          </c:val>
        </c:ser>
        <c:dLbls>
          <c:showLegendKey val="0"/>
          <c:showVal val="0"/>
          <c:showCatName val="0"/>
          <c:showSerName val="0"/>
          <c:showPercent val="0"/>
          <c:showBubbleSize val="0"/>
        </c:dLbls>
        <c:gapWidth val="150"/>
        <c:overlap val="100"/>
        <c:axId val="2071440088"/>
        <c:axId val="2119271896"/>
      </c:barChart>
      <c:catAx>
        <c:axId val="207144008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MX"/>
                  <a:t>Rango de salario mínimo (pesos)</a:t>
                </a:r>
              </a:p>
            </c:rich>
          </c:tx>
          <c:layout>
            <c:manualLayout>
              <c:xMode val="edge"/>
              <c:yMode val="edge"/>
              <c:x val="0.396490602073434"/>
              <c:y val="0.907663784673975"/>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9271896"/>
        <c:crosses val="autoZero"/>
        <c:auto val="1"/>
        <c:lblAlgn val="ctr"/>
        <c:lblOffset val="100"/>
        <c:noMultiLvlLbl val="0"/>
      </c:catAx>
      <c:valAx>
        <c:axId val="2119271896"/>
        <c:scaling>
          <c:orientation val="minMax"/>
          <c:max val="5.0E6"/>
        </c:scaling>
        <c:delete val="0"/>
        <c:axPos val="l"/>
        <c:majorGridlines/>
        <c:title>
          <c:tx>
            <c:rich>
              <a:bodyPr/>
              <a:lstStyle/>
              <a:p>
                <a:pPr>
                  <a:defRPr sz="1000" b="0" i="0" u="none" strike="noStrike" baseline="0">
                    <a:solidFill>
                      <a:srgbClr val="000000"/>
                    </a:solidFill>
                    <a:latin typeface="Calibri"/>
                    <a:ea typeface="Calibri"/>
                    <a:cs typeface="Calibri"/>
                  </a:defRPr>
                </a:pPr>
                <a:r>
                  <a:rPr lang="es-MX"/>
                  <a:t>Población Ocupada</a:t>
                </a:r>
              </a:p>
            </c:rich>
          </c:tx>
          <c:layout/>
          <c:overlay val="0"/>
        </c:title>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440088"/>
        <c:crosses val="autoZero"/>
        <c:crossBetween val="between"/>
      </c:valAx>
    </c:plotArea>
    <c:legend>
      <c:legendPos val="r"/>
      <c:legendEntry>
        <c:idx val="1"/>
        <c:delete val="1"/>
      </c:legendEntry>
      <c:layout>
        <c:manualLayout>
          <c:xMode val="edge"/>
          <c:yMode val="edge"/>
          <c:x val="0.90339048469501"/>
          <c:y val="0.477551853192505"/>
          <c:w val="0.0906780317658218"/>
          <c:h val="0.0571429567922656"/>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Ind.Manufacturera!$A$25</c:f>
              <c:strCache>
                <c:ptCount val="1"/>
                <c:pt idx="0">
                  <c:v>Beneficiados</c:v>
                </c:pt>
              </c:strCache>
            </c:strRef>
          </c:tx>
          <c:spPr>
            <a:solidFill>
              <a:srgbClr val="0070C0"/>
            </a:solidFill>
          </c:spPr>
          <c:invertIfNegative val="0"/>
          <c:cat>
            <c:strRef>
              <c:f>Ind.Manufacturera!$D$9:$H$9</c:f>
              <c:strCache>
                <c:ptCount val="5"/>
                <c:pt idx="0">
                  <c:v>67.29</c:v>
                </c:pt>
                <c:pt idx="1">
                  <c:v>67.30-134.58</c:v>
                </c:pt>
                <c:pt idx="2">
                  <c:v>134.59-201.87</c:v>
                </c:pt>
                <c:pt idx="3">
                  <c:v>201.88-336.45</c:v>
                </c:pt>
                <c:pt idx="4">
                  <c:v>336.46-1682.25</c:v>
                </c:pt>
              </c:strCache>
            </c:strRef>
          </c:cat>
          <c:val>
            <c:numRef>
              <c:f>Ind.Manufacturera!$D$25:$H$25</c:f>
              <c:numCache>
                <c:formatCode>_-* #,##0_-;\-* #,##0_-;_-* "-"??_-;_-@_-</c:formatCode>
                <c:ptCount val="5"/>
                <c:pt idx="0">
                  <c:v>844538.096410576</c:v>
                </c:pt>
                <c:pt idx="1">
                  <c:v>2.36687995457151E6</c:v>
                </c:pt>
                <c:pt idx="2">
                  <c:v>0.0</c:v>
                </c:pt>
                <c:pt idx="3">
                  <c:v>0.0</c:v>
                </c:pt>
                <c:pt idx="4">
                  <c:v>0.0</c:v>
                </c:pt>
              </c:numCache>
            </c:numRef>
          </c:val>
        </c:ser>
        <c:ser>
          <c:idx val="1"/>
          <c:order val="1"/>
          <c:spPr>
            <a:solidFill>
              <a:schemeClr val="accent3"/>
            </a:solidFill>
          </c:spPr>
          <c:invertIfNegative val="0"/>
          <c:cat>
            <c:strRef>
              <c:f>Ind.Manufacturera!$D$9:$H$9</c:f>
              <c:strCache>
                <c:ptCount val="5"/>
                <c:pt idx="0">
                  <c:v>67.29</c:v>
                </c:pt>
                <c:pt idx="1">
                  <c:v>67.30-134.58</c:v>
                </c:pt>
                <c:pt idx="2">
                  <c:v>134.59-201.87</c:v>
                </c:pt>
                <c:pt idx="3">
                  <c:v>201.88-336.45</c:v>
                </c:pt>
                <c:pt idx="4">
                  <c:v>336.46-1682.25</c:v>
                </c:pt>
              </c:strCache>
            </c:strRef>
          </c:cat>
          <c:val>
            <c:numRef>
              <c:f>Ind.Manufacturera!$D$26:$H$26</c:f>
              <c:numCache>
                <c:formatCode>_-* #,##0_-;\-* #,##0_-;_-* "-"??_-;_-@_-</c:formatCode>
                <c:ptCount val="5"/>
                <c:pt idx="1">
                  <c:v>57684.90528749395</c:v>
                </c:pt>
                <c:pt idx="2">
                  <c:v>2.61471839005278E6</c:v>
                </c:pt>
                <c:pt idx="3">
                  <c:v>1.22878735334815E6</c:v>
                </c:pt>
                <c:pt idx="4">
                  <c:v>511122.3003294962</c:v>
                </c:pt>
              </c:numCache>
            </c:numRef>
          </c:val>
        </c:ser>
        <c:dLbls>
          <c:showLegendKey val="0"/>
          <c:showVal val="0"/>
          <c:showCatName val="0"/>
          <c:showSerName val="0"/>
          <c:showPercent val="0"/>
          <c:showBubbleSize val="0"/>
        </c:dLbls>
        <c:gapWidth val="150"/>
        <c:overlap val="100"/>
        <c:axId val="2122014520"/>
        <c:axId val="2046345720"/>
      </c:barChart>
      <c:catAx>
        <c:axId val="212201452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MX"/>
                  <a:t>Rango de salario mínimo (pesos)</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46345720"/>
        <c:crosses val="autoZero"/>
        <c:auto val="1"/>
        <c:lblAlgn val="ctr"/>
        <c:lblOffset val="100"/>
        <c:noMultiLvlLbl val="0"/>
      </c:catAx>
      <c:valAx>
        <c:axId val="2046345720"/>
        <c:scaling>
          <c:orientation val="minMax"/>
          <c:max val="5.0E6"/>
        </c:scaling>
        <c:delete val="0"/>
        <c:axPos val="l"/>
        <c:majorGridlines/>
        <c:title>
          <c:tx>
            <c:rich>
              <a:bodyPr/>
              <a:lstStyle/>
              <a:p>
                <a:pPr>
                  <a:defRPr sz="1000" b="0" i="0" u="none" strike="noStrike" baseline="0">
                    <a:solidFill>
                      <a:srgbClr val="000000"/>
                    </a:solidFill>
                    <a:latin typeface="Calibri"/>
                    <a:ea typeface="Calibri"/>
                    <a:cs typeface="Calibri"/>
                  </a:defRPr>
                </a:pPr>
                <a:r>
                  <a:rPr lang="es-MX"/>
                  <a:t>Población Ocupada</a:t>
                </a:r>
              </a:p>
            </c:rich>
          </c:tx>
          <c:layout/>
          <c:overlay val="0"/>
        </c:title>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2014520"/>
        <c:crosses val="autoZero"/>
        <c:crossBetween val="between"/>
      </c:valAx>
    </c:plotArea>
    <c:legend>
      <c:legendPos val="r"/>
      <c:legendEntry>
        <c:idx val="0"/>
        <c:delete val="1"/>
      </c:legendEntry>
      <c:layout>
        <c:manualLayout>
          <c:xMode val="edge"/>
          <c:yMode val="edge"/>
          <c:x val="0.904560810810811"/>
          <c:y val="0.470339104691613"/>
          <c:w val="0.0903716216216216"/>
          <c:h val="0.059322049240383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Agropecuario!$A$25</c:f>
              <c:strCache>
                <c:ptCount val="1"/>
                <c:pt idx="0">
                  <c:v>Beneficiados</c:v>
                </c:pt>
              </c:strCache>
            </c:strRef>
          </c:tx>
          <c:spPr>
            <a:solidFill>
              <a:srgbClr val="0070C0"/>
            </a:solidFill>
          </c:spPr>
          <c:invertIfNegative val="0"/>
          <c:cat>
            <c:strRef>
              <c:f>Agropecuario!$D$9:$H$9</c:f>
              <c:strCache>
                <c:ptCount val="5"/>
                <c:pt idx="0">
                  <c:v>63.77</c:v>
                </c:pt>
                <c:pt idx="1">
                  <c:v>63.78-127.54</c:v>
                </c:pt>
                <c:pt idx="2">
                  <c:v>127.55-191.31</c:v>
                </c:pt>
                <c:pt idx="3">
                  <c:v>191.32-318.85</c:v>
                </c:pt>
                <c:pt idx="4">
                  <c:v>318.86-1,594.25</c:v>
                </c:pt>
              </c:strCache>
            </c:strRef>
          </c:cat>
          <c:val>
            <c:numRef>
              <c:f>Agropecuario!$D$25:$H$25</c:f>
              <c:numCache>
                <c:formatCode>_-* #,##0_-;\-* #,##0_-;_-* "-"??_-;_-@_-</c:formatCode>
                <c:ptCount val="5"/>
                <c:pt idx="0">
                  <c:v>1.89227886028085E6</c:v>
                </c:pt>
                <c:pt idx="1">
                  <c:v>1.28771414268798E6</c:v>
                </c:pt>
                <c:pt idx="2">
                  <c:v>0.0</c:v>
                </c:pt>
                <c:pt idx="3">
                  <c:v>0.0</c:v>
                </c:pt>
                <c:pt idx="4">
                  <c:v>0.0</c:v>
                </c:pt>
              </c:numCache>
            </c:numRef>
          </c:val>
        </c:ser>
        <c:ser>
          <c:idx val="1"/>
          <c:order val="1"/>
          <c:invertIfNegative val="0"/>
          <c:cat>
            <c:strRef>
              <c:f>Agropecuario!$D$9:$H$9</c:f>
              <c:strCache>
                <c:ptCount val="5"/>
                <c:pt idx="0">
                  <c:v>63.77</c:v>
                </c:pt>
                <c:pt idx="1">
                  <c:v>63.78-127.54</c:v>
                </c:pt>
                <c:pt idx="2">
                  <c:v>127.55-191.31</c:v>
                </c:pt>
                <c:pt idx="3">
                  <c:v>191.32-318.85</c:v>
                </c:pt>
                <c:pt idx="4">
                  <c:v>318.86-1,594.25</c:v>
                </c:pt>
              </c:strCache>
            </c:strRef>
          </c:cat>
          <c:val>
            <c:numRef>
              <c:f>Agropecuario!$D$26:$H$26</c:f>
              <c:numCache>
                <c:formatCode>_-* #,##0_-;\-* #,##0_-;_-* "-"??_-;_-@_-</c:formatCode>
                <c:ptCount val="5"/>
                <c:pt idx="1">
                  <c:v>513710.7915667931</c:v>
                </c:pt>
                <c:pt idx="2">
                  <c:v>755502.332027626</c:v>
                </c:pt>
                <c:pt idx="3">
                  <c:v>224400.2507912922</c:v>
                </c:pt>
                <c:pt idx="4">
                  <c:v>103985.6226454616</c:v>
                </c:pt>
              </c:numCache>
            </c:numRef>
          </c:val>
        </c:ser>
        <c:dLbls>
          <c:showLegendKey val="0"/>
          <c:showVal val="0"/>
          <c:showCatName val="0"/>
          <c:showSerName val="0"/>
          <c:showPercent val="0"/>
          <c:showBubbleSize val="0"/>
        </c:dLbls>
        <c:gapWidth val="150"/>
        <c:overlap val="100"/>
        <c:axId val="2046702424"/>
        <c:axId val="2046410008"/>
      </c:barChart>
      <c:catAx>
        <c:axId val="2046702424"/>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MX"/>
                  <a:t>Rango de salario mínimo (pesos)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46410008"/>
        <c:crosses val="autoZero"/>
        <c:auto val="1"/>
        <c:lblAlgn val="ctr"/>
        <c:lblOffset val="100"/>
        <c:noMultiLvlLbl val="0"/>
      </c:catAx>
      <c:valAx>
        <c:axId val="2046410008"/>
        <c:scaling>
          <c:orientation val="minMax"/>
          <c:max val="5.0E6"/>
        </c:scaling>
        <c:delete val="0"/>
        <c:axPos val="l"/>
        <c:majorGridlines/>
        <c:title>
          <c:tx>
            <c:rich>
              <a:bodyPr/>
              <a:lstStyle/>
              <a:p>
                <a:pPr>
                  <a:defRPr sz="1000" b="0" i="0" u="none" strike="noStrike" baseline="0">
                    <a:solidFill>
                      <a:srgbClr val="000000"/>
                    </a:solidFill>
                    <a:latin typeface="Calibri"/>
                    <a:ea typeface="Calibri"/>
                    <a:cs typeface="Calibri"/>
                  </a:defRPr>
                </a:pPr>
                <a:r>
                  <a:rPr lang="es-MX"/>
                  <a:t>Población Ocupada</a:t>
                </a:r>
              </a:p>
            </c:rich>
          </c:tx>
          <c:overlay val="0"/>
        </c:title>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46702424"/>
        <c:crosses val="autoZero"/>
        <c:crossBetween val="between"/>
      </c:valAx>
    </c:plotArea>
    <c:legend>
      <c:legendPos val="r"/>
      <c:legendEntry>
        <c:idx val="0"/>
        <c:delete val="1"/>
      </c:legendEntry>
      <c:layout>
        <c:manualLayout>
          <c:xMode val="edge"/>
          <c:yMode val="edge"/>
          <c:x val="0.902613611750539"/>
          <c:y val="0.477801638427454"/>
          <c:w val="0.0890737116859084"/>
          <c:h val="0.05919666316800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Comercio!$A$25</c:f>
              <c:strCache>
                <c:ptCount val="1"/>
                <c:pt idx="0">
                  <c:v>Beneficiados</c:v>
                </c:pt>
              </c:strCache>
            </c:strRef>
          </c:tx>
          <c:spPr>
            <a:solidFill>
              <a:srgbClr val="0070C0"/>
            </a:solidFill>
          </c:spPr>
          <c:invertIfNegative val="0"/>
          <c:cat>
            <c:strRef>
              <c:f>Comercio!$D$9:$H$9</c:f>
              <c:strCache>
                <c:ptCount val="5"/>
                <c:pt idx="0">
                  <c:v>67.29</c:v>
                </c:pt>
                <c:pt idx="1">
                  <c:v>67.30-134.58</c:v>
                </c:pt>
                <c:pt idx="2">
                  <c:v>134.59-201.87</c:v>
                </c:pt>
                <c:pt idx="3">
                  <c:v>201.88-336.45</c:v>
                </c:pt>
                <c:pt idx="4">
                  <c:v>336.46-1682.25</c:v>
                </c:pt>
              </c:strCache>
            </c:strRef>
          </c:cat>
          <c:val>
            <c:numRef>
              <c:f>Comercio!$D$25:$H$25</c:f>
              <c:numCache>
                <c:formatCode>_-* #,##0_-;\-* #,##0_-;_-* "-"??_-;_-@_-</c:formatCode>
                <c:ptCount val="5"/>
                <c:pt idx="0">
                  <c:v>1.78162180986903E6</c:v>
                </c:pt>
                <c:pt idx="1">
                  <c:v>2.91833984214012E6</c:v>
                </c:pt>
                <c:pt idx="2">
                  <c:v>0.0</c:v>
                </c:pt>
                <c:pt idx="3">
                  <c:v>0.0</c:v>
                </c:pt>
                <c:pt idx="4">
                  <c:v>0.0</c:v>
                </c:pt>
              </c:numCache>
            </c:numRef>
          </c:val>
        </c:ser>
        <c:ser>
          <c:idx val="1"/>
          <c:order val="1"/>
          <c:spPr>
            <a:solidFill>
              <a:schemeClr val="accent4">
                <a:lumMod val="50000"/>
              </a:schemeClr>
            </a:solidFill>
          </c:spPr>
          <c:invertIfNegative val="0"/>
          <c:cat>
            <c:strRef>
              <c:f>Comercio!$D$9:$H$9</c:f>
              <c:strCache>
                <c:ptCount val="5"/>
                <c:pt idx="0">
                  <c:v>67.29</c:v>
                </c:pt>
                <c:pt idx="1">
                  <c:v>67.30-134.58</c:v>
                </c:pt>
                <c:pt idx="2">
                  <c:v>134.59-201.87</c:v>
                </c:pt>
                <c:pt idx="3">
                  <c:v>201.88-336.45</c:v>
                </c:pt>
                <c:pt idx="4">
                  <c:v>336.46-1682.25</c:v>
                </c:pt>
              </c:strCache>
            </c:strRef>
          </c:cat>
          <c:val>
            <c:numRef>
              <c:f>Comercio!$D$26:$H$26</c:f>
              <c:numCache>
                <c:formatCode>_-* #,##0_-;\-* #,##0_-;_-* "-"??_-;_-@_-</c:formatCode>
                <c:ptCount val="5"/>
                <c:pt idx="1">
                  <c:v>71124.92421317101</c:v>
                </c:pt>
                <c:pt idx="2">
                  <c:v>2.27461642510683E6</c:v>
                </c:pt>
                <c:pt idx="3">
                  <c:v>1.2098657435083E6</c:v>
                </c:pt>
                <c:pt idx="4">
                  <c:v>477528.2551625416</c:v>
                </c:pt>
              </c:numCache>
            </c:numRef>
          </c:val>
        </c:ser>
        <c:dLbls>
          <c:showLegendKey val="0"/>
          <c:showVal val="0"/>
          <c:showCatName val="0"/>
          <c:showSerName val="0"/>
          <c:showPercent val="0"/>
          <c:showBubbleSize val="0"/>
        </c:dLbls>
        <c:gapWidth val="150"/>
        <c:overlap val="100"/>
        <c:axId val="2122035816"/>
        <c:axId val="2122041448"/>
      </c:barChart>
      <c:catAx>
        <c:axId val="2122035816"/>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MX"/>
                  <a:t>Rango de salario mínimo (pesos)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2041448"/>
        <c:crosses val="autoZero"/>
        <c:auto val="1"/>
        <c:lblAlgn val="ctr"/>
        <c:lblOffset val="100"/>
        <c:noMultiLvlLbl val="0"/>
      </c:catAx>
      <c:valAx>
        <c:axId val="2122041448"/>
        <c:scaling>
          <c:orientation val="minMax"/>
          <c:max val="5.0E6"/>
        </c:scaling>
        <c:delete val="0"/>
        <c:axPos val="l"/>
        <c:majorGridlines/>
        <c:title>
          <c:tx>
            <c:rich>
              <a:bodyPr/>
              <a:lstStyle/>
              <a:p>
                <a:pPr>
                  <a:defRPr sz="1000" b="0" i="0" u="none" strike="noStrike" baseline="0">
                    <a:solidFill>
                      <a:srgbClr val="000000"/>
                    </a:solidFill>
                    <a:latin typeface="Calibri"/>
                    <a:ea typeface="Calibri"/>
                    <a:cs typeface="Calibri"/>
                  </a:defRPr>
                </a:pPr>
                <a:r>
                  <a:rPr lang="es-MX"/>
                  <a:t>Poblacón Ocupada</a:t>
                </a:r>
              </a:p>
            </c:rich>
          </c:tx>
          <c:overlay val="0"/>
        </c:title>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2035816"/>
        <c:crosses val="autoZero"/>
        <c:crossBetween val="between"/>
      </c:valAx>
    </c:plotArea>
    <c:legend>
      <c:legendPos val="r"/>
      <c:legendEntry>
        <c:idx val="0"/>
        <c:delete val="1"/>
      </c:legendEntry>
      <c:layout>
        <c:manualLayout>
          <c:xMode val="edge"/>
          <c:yMode val="edge"/>
          <c:x val="0.904481348549595"/>
          <c:y val="0.477801638427454"/>
          <c:w val="0.0904481348549595"/>
          <c:h val="0.05919666316800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chemeClr val="accent6">
                <a:lumMod val="75000"/>
              </a:schemeClr>
            </a:solidFill>
          </c:spPr>
          <c:invertIfNegative val="0"/>
          <c:cat>
            <c:strRef>
              <c:f>Servicios!$D$9:$H$9</c:f>
              <c:strCache>
                <c:ptCount val="5"/>
                <c:pt idx="0">
                  <c:v>67.29</c:v>
                </c:pt>
                <c:pt idx="1">
                  <c:v>67.30-134.58</c:v>
                </c:pt>
                <c:pt idx="2">
                  <c:v>134.59-201.87</c:v>
                </c:pt>
                <c:pt idx="3">
                  <c:v>201.88-336.45</c:v>
                </c:pt>
                <c:pt idx="4">
                  <c:v>336.46-1682.25</c:v>
                </c:pt>
              </c:strCache>
            </c:strRef>
          </c:cat>
          <c:val>
            <c:numRef>
              <c:f>Servicios!$D$26:$H$26</c:f>
              <c:numCache>
                <c:formatCode>_-* #,##0_-;\-* #,##0_-;_-* "-"??_-;_-@_-</c:formatCode>
                <c:ptCount val="5"/>
                <c:pt idx="1">
                  <c:v>3.50049221087102E6</c:v>
                </c:pt>
                <c:pt idx="2">
                  <c:v>5.28869692178264E6</c:v>
                </c:pt>
                <c:pt idx="3">
                  <c:v>4.66539937932633E6</c:v>
                </c:pt>
                <c:pt idx="4">
                  <c:v>2.38957547829077E6</c:v>
                </c:pt>
              </c:numCache>
            </c:numRef>
          </c:val>
        </c:ser>
        <c:ser>
          <c:idx val="1"/>
          <c:order val="1"/>
          <c:tx>
            <c:strRef>
              <c:f>Servicios!$A$25</c:f>
              <c:strCache>
                <c:ptCount val="1"/>
                <c:pt idx="0">
                  <c:v>Beneficiados</c:v>
                </c:pt>
              </c:strCache>
            </c:strRef>
          </c:tx>
          <c:spPr>
            <a:solidFill>
              <a:srgbClr val="0070C0"/>
            </a:solidFill>
          </c:spPr>
          <c:invertIfNegative val="0"/>
          <c:cat>
            <c:strRef>
              <c:f>Servicios!$D$9:$H$9</c:f>
              <c:strCache>
                <c:ptCount val="5"/>
                <c:pt idx="0">
                  <c:v>67.29</c:v>
                </c:pt>
                <c:pt idx="1">
                  <c:v>67.30-134.58</c:v>
                </c:pt>
                <c:pt idx="2">
                  <c:v>134.59-201.87</c:v>
                </c:pt>
                <c:pt idx="3">
                  <c:v>201.88-336.45</c:v>
                </c:pt>
                <c:pt idx="4">
                  <c:v>336.46-1682.25</c:v>
                </c:pt>
              </c:strCache>
            </c:strRef>
          </c:cat>
          <c:val>
            <c:numRef>
              <c:f>Servicios!$D$25:$H$25</c:f>
              <c:numCache>
                <c:formatCode>_-* #,##0_-;\-* #,##0_-;_-* "-"??_-;_-@_-</c:formatCode>
                <c:ptCount val="5"/>
                <c:pt idx="0">
                  <c:v>2.43833349651941E6</c:v>
                </c:pt>
                <c:pt idx="1">
                  <c:v>1.97605351320983E6</c:v>
                </c:pt>
                <c:pt idx="2">
                  <c:v>0.0</c:v>
                </c:pt>
                <c:pt idx="3">
                  <c:v>0.0</c:v>
                </c:pt>
                <c:pt idx="4">
                  <c:v>0.0</c:v>
                </c:pt>
              </c:numCache>
            </c:numRef>
          </c:val>
        </c:ser>
        <c:dLbls>
          <c:showLegendKey val="0"/>
          <c:showVal val="0"/>
          <c:showCatName val="0"/>
          <c:showSerName val="0"/>
          <c:showPercent val="0"/>
          <c:showBubbleSize val="0"/>
        </c:dLbls>
        <c:gapWidth val="150"/>
        <c:overlap val="100"/>
        <c:axId val="2119422552"/>
        <c:axId val="2119425800"/>
      </c:barChart>
      <c:catAx>
        <c:axId val="2119422552"/>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MX"/>
                  <a:t>Rango de salario mínimo (pesos)</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9425800"/>
        <c:crosses val="autoZero"/>
        <c:auto val="1"/>
        <c:lblAlgn val="ctr"/>
        <c:lblOffset val="100"/>
        <c:noMultiLvlLbl val="0"/>
      </c:catAx>
      <c:valAx>
        <c:axId val="2119425800"/>
        <c:scaling>
          <c:orientation val="minMax"/>
          <c:max val="5.0E6"/>
        </c:scaling>
        <c:delete val="0"/>
        <c:axPos val="l"/>
        <c:majorGridlines/>
        <c:title>
          <c:tx>
            <c:rich>
              <a:bodyPr/>
              <a:lstStyle/>
              <a:p>
                <a:pPr>
                  <a:defRPr sz="1000" b="0" i="0" u="none" strike="noStrike" baseline="0">
                    <a:solidFill>
                      <a:srgbClr val="000000"/>
                    </a:solidFill>
                    <a:latin typeface="Calibri"/>
                    <a:ea typeface="Calibri"/>
                    <a:cs typeface="Calibri"/>
                  </a:defRPr>
                </a:pPr>
                <a:r>
                  <a:rPr lang="es-MX"/>
                  <a:t>Población Ocupada</a:t>
                </a:r>
              </a:p>
            </c:rich>
          </c:tx>
          <c:overlay val="0"/>
        </c:title>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9422552"/>
        <c:crosses val="autoZero"/>
        <c:crossBetween val="between"/>
      </c:valAx>
    </c:plotArea>
    <c:legend>
      <c:legendPos val="r"/>
      <c:legendEntry>
        <c:idx val="1"/>
        <c:delete val="1"/>
      </c:legendEntry>
      <c:layout>
        <c:manualLayout>
          <c:xMode val="edge"/>
          <c:yMode val="edge"/>
          <c:x val="0.904560810810811"/>
          <c:y val="0.470339104691613"/>
          <c:w val="0.0903716216216216"/>
          <c:h val="0.059322049240383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Scroll" dx="26" fmlaLink="$J$5" horiz="1" max="200" min="67" page="10" val="85"/>
</file>

<file path=xl/drawings/_rels/drawing1.xml.rels><?xml version="1.0" encoding="UTF-8" standalone="yes"?>
<Relationships xmlns="http://schemas.openxmlformats.org/package/2006/relationships"><Relationship Id="rId3" Type="http://schemas.openxmlformats.org/officeDocument/2006/relationships/hyperlink" Target="#Ind.Manufacturera!A1"/><Relationship Id="rId4" Type="http://schemas.openxmlformats.org/officeDocument/2006/relationships/hyperlink" Target="#Comercio!A1"/><Relationship Id="rId5" Type="http://schemas.openxmlformats.org/officeDocument/2006/relationships/hyperlink" Target="#Servicios!A1"/><Relationship Id="rId6" Type="http://schemas.openxmlformats.org/officeDocument/2006/relationships/chart" Target="../charts/chart1.xml"/><Relationship Id="rId7" Type="http://schemas.openxmlformats.org/officeDocument/2006/relationships/chart" Target="../charts/chart2.xml"/><Relationship Id="rId8" Type="http://schemas.openxmlformats.org/officeDocument/2006/relationships/chart" Target="../charts/chart3.xml"/><Relationship Id="rId9" Type="http://schemas.openxmlformats.org/officeDocument/2006/relationships/chart" Target="../charts/chart4.xml"/><Relationship Id="rId10" Type="http://schemas.openxmlformats.org/officeDocument/2006/relationships/chart" Target="../charts/chart5.xml"/><Relationship Id="rId1" Type="http://schemas.openxmlformats.org/officeDocument/2006/relationships/hyperlink" Target="#Construcci&#243;n!A1"/><Relationship Id="rId2" Type="http://schemas.openxmlformats.org/officeDocument/2006/relationships/hyperlink" Target="#Agropecuario!A1"/></Relationships>
</file>

<file path=xl/drawings/_rels/drawing2.xml.rels><?xml version="1.0" encoding="UTF-8" standalone="yes"?>
<Relationships xmlns="http://schemas.openxmlformats.org/package/2006/relationships"><Relationship Id="rId1" Type="http://schemas.openxmlformats.org/officeDocument/2006/relationships/hyperlink" Target="#'Principal T'!A1"/></Relationships>
</file>

<file path=xl/drawings/_rels/drawing3.xml.rels><?xml version="1.0" encoding="UTF-8" standalone="yes"?>
<Relationships xmlns="http://schemas.openxmlformats.org/package/2006/relationships"><Relationship Id="rId1" Type="http://schemas.openxmlformats.org/officeDocument/2006/relationships/hyperlink" Target="#'Principal T'!A1"/></Relationships>
</file>

<file path=xl/drawings/_rels/drawing4.xml.rels><?xml version="1.0" encoding="UTF-8" standalone="yes"?>
<Relationships xmlns="http://schemas.openxmlformats.org/package/2006/relationships"><Relationship Id="rId1" Type="http://schemas.openxmlformats.org/officeDocument/2006/relationships/hyperlink" Target="#'Principal T'!A1"/></Relationships>
</file>

<file path=xl/drawings/_rels/drawing5.xml.rels><?xml version="1.0" encoding="UTF-8" standalone="yes"?>
<Relationships xmlns="http://schemas.openxmlformats.org/package/2006/relationships"><Relationship Id="rId1" Type="http://schemas.openxmlformats.org/officeDocument/2006/relationships/hyperlink" Target="#'Principal T'!A1"/></Relationships>
</file>

<file path=xl/drawings/_rels/drawing6.xml.rels><?xml version="1.0" encoding="UTF-8" standalone="yes"?>
<Relationships xmlns="http://schemas.openxmlformats.org/package/2006/relationships"><Relationship Id="rId1" Type="http://schemas.openxmlformats.org/officeDocument/2006/relationships/hyperlink" Target="#'Principal T'!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 T'!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50800</xdr:colOff>
          <xdr:row>4</xdr:row>
          <xdr:rowOff>25400</xdr:rowOff>
        </xdr:from>
        <xdr:to>
          <xdr:col>15</xdr:col>
          <xdr:colOff>1384300</xdr:colOff>
          <xdr:row>4</xdr:row>
          <xdr:rowOff>254000</xdr:rowOff>
        </xdr:to>
        <xdr:sp macro="" textlink="">
          <xdr:nvSpPr>
            <xdr:cNvPr id="100348" name="Scroll Bar 1020" hidden="1">
              <a:extLst>
                <a:ext uri="{63B3BB69-23CF-44E3-9099-C40C66FF867C}">
                  <a14:compatExt spid="_x0000_s100348"/>
                </a:ext>
              </a:extLst>
            </xdr:cNvPr>
            <xdr:cNvSpPr/>
          </xdr:nvSpPr>
          <xdr:spPr>
            <a:xfrm>
              <a:off x="0" y="0"/>
              <a:ext cx="0" cy="0"/>
            </a:xfrm>
            <a:prstGeom prst="rect">
              <a:avLst/>
            </a:prstGeom>
          </xdr:spPr>
        </xdr:sp>
        <xdr:clientData/>
      </xdr:twoCellAnchor>
    </mc:Choice>
    <mc:Fallback/>
  </mc:AlternateContent>
  <xdr:twoCellAnchor>
    <xdr:from>
      <xdr:col>1</xdr:col>
      <xdr:colOff>573405</xdr:colOff>
      <xdr:row>33</xdr:row>
      <xdr:rowOff>72390</xdr:rowOff>
    </xdr:from>
    <xdr:to>
      <xdr:col>7</xdr:col>
      <xdr:colOff>203335</xdr:colOff>
      <xdr:row>35</xdr:row>
      <xdr:rowOff>223714</xdr:rowOff>
    </xdr:to>
    <xdr:sp macro="" textlink="">
      <xdr:nvSpPr>
        <xdr:cNvPr id="13" name="Rectángulo 12">
          <a:hlinkClick xmlns:r="http://schemas.openxmlformats.org/officeDocument/2006/relationships" r:id="rId1"/>
        </xdr:cNvPr>
        <xdr:cNvSpPr/>
      </xdr:nvSpPr>
      <xdr:spPr>
        <a:xfrm>
          <a:off x="6648450" y="10416540"/>
          <a:ext cx="4320000" cy="604693"/>
        </a:xfrm>
        <a:prstGeom prst="rect">
          <a:avLst/>
        </a:prstGeom>
        <a:solidFill>
          <a:schemeClr val="bg1">
            <a:lumMod val="50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MX" sz="1800"/>
            <a:t>Construcción</a:t>
          </a:r>
        </a:p>
      </xdr:txBody>
    </xdr:sp>
    <xdr:clientData/>
  </xdr:twoCellAnchor>
  <xdr:twoCellAnchor>
    <xdr:from>
      <xdr:col>0</xdr:col>
      <xdr:colOff>0</xdr:colOff>
      <xdr:row>55</xdr:row>
      <xdr:rowOff>121920</xdr:rowOff>
    </xdr:from>
    <xdr:to>
      <xdr:col>2</xdr:col>
      <xdr:colOff>418566</xdr:colOff>
      <xdr:row>57</xdr:row>
      <xdr:rowOff>191340</xdr:rowOff>
    </xdr:to>
    <xdr:sp macro="" textlink="">
      <xdr:nvSpPr>
        <xdr:cNvPr id="14" name="Rectángulo 13">
          <a:hlinkClick xmlns:r="http://schemas.openxmlformats.org/officeDocument/2006/relationships" r:id="rId2"/>
        </xdr:cNvPr>
        <xdr:cNvSpPr/>
      </xdr:nvSpPr>
      <xdr:spPr>
        <a:xfrm>
          <a:off x="3550920" y="15495270"/>
          <a:ext cx="4320000" cy="540000"/>
        </a:xfrm>
        <a:prstGeom prst="rect">
          <a:avLst/>
        </a:prstGeom>
        <a:solidFill>
          <a:schemeClr val="bg1">
            <a:lumMod val="50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MX" sz="1800"/>
            <a:t>Agropecuario</a:t>
          </a:r>
        </a:p>
      </xdr:txBody>
    </xdr:sp>
    <xdr:clientData/>
  </xdr:twoCellAnchor>
  <xdr:twoCellAnchor>
    <xdr:from>
      <xdr:col>12</xdr:col>
      <xdr:colOff>1232535</xdr:colOff>
      <xdr:row>33</xdr:row>
      <xdr:rowOff>72390</xdr:rowOff>
    </xdr:from>
    <xdr:to>
      <xdr:col>15</xdr:col>
      <xdr:colOff>1393997</xdr:colOff>
      <xdr:row>35</xdr:row>
      <xdr:rowOff>223714</xdr:rowOff>
    </xdr:to>
    <xdr:sp macro="" textlink="">
      <xdr:nvSpPr>
        <xdr:cNvPr id="15" name="Rectángulo 14">
          <a:hlinkClick xmlns:r="http://schemas.openxmlformats.org/officeDocument/2006/relationships" r:id="rId3"/>
        </xdr:cNvPr>
        <xdr:cNvSpPr/>
      </xdr:nvSpPr>
      <xdr:spPr>
        <a:xfrm>
          <a:off x="18611850" y="10416540"/>
          <a:ext cx="4320000" cy="604693"/>
        </a:xfrm>
        <a:prstGeom prst="rect">
          <a:avLst/>
        </a:prstGeom>
        <a:solidFill>
          <a:schemeClr val="bg1">
            <a:lumMod val="50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MX" sz="1800"/>
            <a:t>Industrias manufactureras</a:t>
          </a:r>
        </a:p>
      </xdr:txBody>
    </xdr:sp>
    <xdr:clientData/>
  </xdr:twoCellAnchor>
  <xdr:twoCellAnchor>
    <xdr:from>
      <xdr:col>9</xdr:col>
      <xdr:colOff>112395</xdr:colOff>
      <xdr:row>55</xdr:row>
      <xdr:rowOff>121920</xdr:rowOff>
    </xdr:from>
    <xdr:to>
      <xdr:col>12</xdr:col>
      <xdr:colOff>250930</xdr:colOff>
      <xdr:row>57</xdr:row>
      <xdr:rowOff>191340</xdr:rowOff>
    </xdr:to>
    <xdr:sp macro="" textlink="">
      <xdr:nvSpPr>
        <xdr:cNvPr id="16" name="Rectángulo 15">
          <a:hlinkClick xmlns:r="http://schemas.openxmlformats.org/officeDocument/2006/relationships" r:id="rId4"/>
        </xdr:cNvPr>
        <xdr:cNvSpPr/>
      </xdr:nvSpPr>
      <xdr:spPr>
        <a:xfrm>
          <a:off x="13304520" y="15495270"/>
          <a:ext cx="4320000" cy="540000"/>
        </a:xfrm>
        <a:prstGeom prst="rect">
          <a:avLst/>
        </a:prstGeom>
        <a:solidFill>
          <a:schemeClr val="bg1">
            <a:lumMod val="50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MX" sz="1800"/>
            <a:t>Comercio</a:t>
          </a:r>
        </a:p>
      </xdr:txBody>
    </xdr:sp>
    <xdr:clientData/>
  </xdr:twoCellAnchor>
  <xdr:twoCellAnchor>
    <xdr:from>
      <xdr:col>16</xdr:col>
      <xdr:colOff>605790</xdr:colOff>
      <xdr:row>55</xdr:row>
      <xdr:rowOff>121920</xdr:rowOff>
    </xdr:from>
    <xdr:to>
      <xdr:col>19</xdr:col>
      <xdr:colOff>744322</xdr:colOff>
      <xdr:row>57</xdr:row>
      <xdr:rowOff>191340</xdr:rowOff>
    </xdr:to>
    <xdr:sp macro="" textlink="">
      <xdr:nvSpPr>
        <xdr:cNvPr id="17" name="Rectángulo 16">
          <a:hlinkClick xmlns:r="http://schemas.openxmlformats.org/officeDocument/2006/relationships" r:id="rId5"/>
        </xdr:cNvPr>
        <xdr:cNvSpPr/>
      </xdr:nvSpPr>
      <xdr:spPr>
        <a:xfrm>
          <a:off x="23534370" y="15495270"/>
          <a:ext cx="4320000" cy="540000"/>
        </a:xfrm>
        <a:prstGeom prst="rect">
          <a:avLst/>
        </a:prstGeom>
        <a:solidFill>
          <a:schemeClr val="bg1">
            <a:lumMod val="50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MX" sz="1800"/>
            <a:t>Servicios</a:t>
          </a:r>
        </a:p>
      </xdr:txBody>
    </xdr:sp>
    <xdr:clientData/>
  </xdr:twoCellAnchor>
  <xdr:twoCellAnchor>
    <xdr:from>
      <xdr:col>0</xdr:col>
      <xdr:colOff>0</xdr:colOff>
      <xdr:row>16</xdr:row>
      <xdr:rowOff>182880</xdr:rowOff>
    </xdr:from>
    <xdr:to>
      <xdr:col>8</xdr:col>
      <xdr:colOff>1043940</xdr:colOff>
      <xdr:row>33</xdr:row>
      <xdr:rowOff>30480</xdr:rowOff>
    </xdr:to>
    <xdr:graphicFrame macro="">
      <xdr:nvGraphicFramePr>
        <xdr:cNvPr id="285495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121920</xdr:colOff>
      <xdr:row>17</xdr:row>
      <xdr:rowOff>91440</xdr:rowOff>
    </xdr:from>
    <xdr:to>
      <xdr:col>17</xdr:col>
      <xdr:colOff>777240</xdr:colOff>
      <xdr:row>33</xdr:row>
      <xdr:rowOff>30480</xdr:rowOff>
    </xdr:to>
    <xdr:graphicFrame macro="">
      <xdr:nvGraphicFramePr>
        <xdr:cNvPr id="285495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60960</xdr:rowOff>
    </xdr:from>
    <xdr:to>
      <xdr:col>6</xdr:col>
      <xdr:colOff>335280</xdr:colOff>
      <xdr:row>55</xdr:row>
      <xdr:rowOff>7620</xdr:rowOff>
    </xdr:to>
    <xdr:graphicFrame macro="">
      <xdr:nvGraphicFramePr>
        <xdr:cNvPr id="2854959"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60960</xdr:colOff>
      <xdr:row>39</xdr:row>
      <xdr:rowOff>60960</xdr:rowOff>
    </xdr:from>
    <xdr:to>
      <xdr:col>13</xdr:col>
      <xdr:colOff>1059180</xdr:colOff>
      <xdr:row>55</xdr:row>
      <xdr:rowOff>7620</xdr:rowOff>
    </xdr:to>
    <xdr:graphicFrame macro="">
      <xdr:nvGraphicFramePr>
        <xdr:cNvPr id="2854960"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777240</xdr:colOff>
      <xdr:row>39</xdr:row>
      <xdr:rowOff>60960</xdr:rowOff>
    </xdr:from>
    <xdr:to>
      <xdr:col>21</xdr:col>
      <xdr:colOff>38100</xdr:colOff>
      <xdr:row>55</xdr:row>
      <xdr:rowOff>0</xdr:rowOff>
    </xdr:to>
    <xdr:graphicFrame macro="">
      <xdr:nvGraphicFramePr>
        <xdr:cNvPr id="2854961"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1371601</xdr:colOff>
      <xdr:row>3</xdr:row>
      <xdr:rowOff>66674</xdr:rowOff>
    </xdr:to>
    <xdr:sp macro="" textlink="">
      <xdr:nvSpPr>
        <xdr:cNvPr id="4" name="Rectángulo 3">
          <a:hlinkClick xmlns:r="http://schemas.openxmlformats.org/officeDocument/2006/relationships" r:id="rId1"/>
        </xdr:cNvPr>
        <xdr:cNvSpPr/>
      </xdr:nvSpPr>
      <xdr:spPr>
        <a:xfrm>
          <a:off x="0" y="365760"/>
          <a:ext cx="1371601" cy="249554"/>
        </a:xfrm>
        <a:prstGeom prst="rect">
          <a:avLst/>
        </a:prstGeom>
        <a:solidFill>
          <a:srgbClr val="244062"/>
        </a:solidFill>
        <a:ln>
          <a:solidFill>
            <a:srgbClr val="244062"/>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twoCellAnchor>
    <xdr:from>
      <xdr:col>0</xdr:col>
      <xdr:colOff>0</xdr:colOff>
      <xdr:row>2</xdr:row>
      <xdr:rowOff>0</xdr:rowOff>
    </xdr:from>
    <xdr:to>
      <xdr:col>0</xdr:col>
      <xdr:colOff>1371601</xdr:colOff>
      <xdr:row>3</xdr:row>
      <xdr:rowOff>71293</xdr:rowOff>
    </xdr:to>
    <xdr:sp macro="" textlink="">
      <xdr:nvSpPr>
        <xdr:cNvPr id="3" name="Rectángulo 2">
          <a:hlinkClick xmlns:r="http://schemas.openxmlformats.org/officeDocument/2006/relationships" r:id="rId1"/>
        </xdr:cNvPr>
        <xdr:cNvSpPr/>
      </xdr:nvSpPr>
      <xdr:spPr>
        <a:xfrm>
          <a:off x="0" y="365760"/>
          <a:ext cx="1371601" cy="254173"/>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1371601</xdr:colOff>
      <xdr:row>3</xdr:row>
      <xdr:rowOff>79918</xdr:rowOff>
    </xdr:to>
    <xdr:sp macro="" textlink="">
      <xdr:nvSpPr>
        <xdr:cNvPr id="4" name="Rectángulo 3">
          <a:hlinkClick xmlns:r="http://schemas.openxmlformats.org/officeDocument/2006/relationships" r:id="rId1"/>
        </xdr:cNvPr>
        <xdr:cNvSpPr/>
      </xdr:nvSpPr>
      <xdr:spPr>
        <a:xfrm>
          <a:off x="0" y="358588"/>
          <a:ext cx="1371601" cy="249554"/>
        </a:xfrm>
        <a:prstGeom prst="rect">
          <a:avLst/>
        </a:prstGeom>
        <a:solidFill>
          <a:srgbClr val="244062"/>
        </a:solidFill>
        <a:ln>
          <a:solidFill>
            <a:srgbClr val="244062"/>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twoCellAnchor>
    <xdr:from>
      <xdr:col>0</xdr:col>
      <xdr:colOff>0</xdr:colOff>
      <xdr:row>2</xdr:row>
      <xdr:rowOff>8964</xdr:rowOff>
    </xdr:from>
    <xdr:to>
      <xdr:col>0</xdr:col>
      <xdr:colOff>1371601</xdr:colOff>
      <xdr:row>3</xdr:row>
      <xdr:rowOff>83843</xdr:rowOff>
    </xdr:to>
    <xdr:sp macro="" textlink="">
      <xdr:nvSpPr>
        <xdr:cNvPr id="3" name="Rectángulo 2">
          <a:hlinkClick xmlns:r="http://schemas.openxmlformats.org/officeDocument/2006/relationships" r:id="rId1"/>
        </xdr:cNvPr>
        <xdr:cNvSpPr/>
      </xdr:nvSpPr>
      <xdr:spPr>
        <a:xfrm>
          <a:off x="0" y="367552"/>
          <a:ext cx="1371601" cy="254173"/>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47626</xdr:rowOff>
    </xdr:from>
    <xdr:to>
      <xdr:col>0</xdr:col>
      <xdr:colOff>1371601</xdr:colOff>
      <xdr:row>3</xdr:row>
      <xdr:rowOff>125926</xdr:rowOff>
    </xdr:to>
    <xdr:sp macro="" textlink="">
      <xdr:nvSpPr>
        <xdr:cNvPr id="2" name="Rectángulo 1">
          <a:hlinkClick xmlns:r="http://schemas.openxmlformats.org/officeDocument/2006/relationships" r:id="rId1"/>
        </xdr:cNvPr>
        <xdr:cNvSpPr/>
      </xdr:nvSpPr>
      <xdr:spPr>
        <a:xfrm>
          <a:off x="0" y="409576"/>
          <a:ext cx="1371601" cy="247649"/>
        </a:xfrm>
        <a:prstGeom prst="rect">
          <a:avLst/>
        </a:prstGeom>
        <a:solidFill>
          <a:srgbClr val="244062"/>
        </a:solidFill>
        <a:ln>
          <a:solidFill>
            <a:srgbClr val="244062"/>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twoCellAnchor>
    <xdr:from>
      <xdr:col>0</xdr:col>
      <xdr:colOff>0</xdr:colOff>
      <xdr:row>2</xdr:row>
      <xdr:rowOff>38100</xdr:rowOff>
    </xdr:from>
    <xdr:to>
      <xdr:col>0</xdr:col>
      <xdr:colOff>1371601</xdr:colOff>
      <xdr:row>3</xdr:row>
      <xdr:rowOff>121096</xdr:rowOff>
    </xdr:to>
    <xdr:sp macro="" textlink="">
      <xdr:nvSpPr>
        <xdr:cNvPr id="3" name="Rectángulo 2">
          <a:hlinkClick xmlns:r="http://schemas.openxmlformats.org/officeDocument/2006/relationships" r:id="rId1"/>
        </xdr:cNvPr>
        <xdr:cNvSpPr/>
      </xdr:nvSpPr>
      <xdr:spPr>
        <a:xfrm>
          <a:off x="0" y="403860"/>
          <a:ext cx="1371601" cy="254173"/>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xdr:rowOff>
    </xdr:from>
    <xdr:to>
      <xdr:col>0</xdr:col>
      <xdr:colOff>1371601</xdr:colOff>
      <xdr:row>3</xdr:row>
      <xdr:rowOff>84909</xdr:rowOff>
    </xdr:to>
    <xdr:sp macro="" textlink="">
      <xdr:nvSpPr>
        <xdr:cNvPr id="3" name="Rectángulo 2">
          <a:hlinkClick xmlns:r="http://schemas.openxmlformats.org/officeDocument/2006/relationships" r:id="rId1"/>
        </xdr:cNvPr>
        <xdr:cNvSpPr/>
      </xdr:nvSpPr>
      <xdr:spPr>
        <a:xfrm>
          <a:off x="0" y="406401"/>
          <a:ext cx="1371601" cy="266700"/>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7620</xdr:rowOff>
    </xdr:from>
    <xdr:to>
      <xdr:col>0</xdr:col>
      <xdr:colOff>1371601</xdr:colOff>
      <xdr:row>3</xdr:row>
      <xdr:rowOff>74294</xdr:rowOff>
    </xdr:to>
    <xdr:sp macro="" textlink="">
      <xdr:nvSpPr>
        <xdr:cNvPr id="3" name="Rectángulo 2">
          <a:hlinkClick xmlns:r="http://schemas.openxmlformats.org/officeDocument/2006/relationships" r:id="rId1"/>
        </xdr:cNvPr>
        <xdr:cNvSpPr/>
      </xdr:nvSpPr>
      <xdr:spPr>
        <a:xfrm>
          <a:off x="0" y="373380"/>
          <a:ext cx="1371601" cy="249554"/>
        </a:xfrm>
        <a:prstGeom prst="rect">
          <a:avLst/>
        </a:prstGeom>
        <a:solidFill>
          <a:srgbClr val="244062"/>
        </a:solidFill>
        <a:ln>
          <a:solidFill>
            <a:srgbClr val="244062"/>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twoCellAnchor>
    <xdr:from>
      <xdr:col>0</xdr:col>
      <xdr:colOff>0</xdr:colOff>
      <xdr:row>2</xdr:row>
      <xdr:rowOff>7620</xdr:rowOff>
    </xdr:from>
    <xdr:to>
      <xdr:col>0</xdr:col>
      <xdr:colOff>1371601</xdr:colOff>
      <xdr:row>3</xdr:row>
      <xdr:rowOff>86856</xdr:rowOff>
    </xdr:to>
    <xdr:sp macro="" textlink="">
      <xdr:nvSpPr>
        <xdr:cNvPr id="4" name="Rectángulo 3">
          <a:hlinkClick xmlns:r="http://schemas.openxmlformats.org/officeDocument/2006/relationships" r:id="rId1"/>
        </xdr:cNvPr>
        <xdr:cNvSpPr/>
      </xdr:nvSpPr>
      <xdr:spPr>
        <a:xfrm>
          <a:off x="0" y="381000"/>
          <a:ext cx="1371601" cy="254173"/>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373128</xdr:colOff>
      <xdr:row>43</xdr:row>
      <xdr:rowOff>2497</xdr:rowOff>
    </xdr:to>
    <xdr:sp macro="" textlink="">
      <xdr:nvSpPr>
        <xdr:cNvPr id="9" name="Text Box 19"/>
        <xdr:cNvSpPr txBox="1">
          <a:spLocks noChangeArrowheads="1"/>
        </xdr:cNvSpPr>
      </xdr:nvSpPr>
      <xdr:spPr bwMode="auto">
        <a:xfrm>
          <a:off x="0" y="9715500"/>
          <a:ext cx="388620" cy="170137"/>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baseline="0">
              <a:solidFill>
                <a:srgbClr val="000000"/>
              </a:solidFill>
              <a:latin typeface="Arial" pitchFamily="34" charset="0"/>
              <a:cs typeface="Arial" pitchFamily="34" charset="0"/>
            </a:rPr>
            <a:t>NOTA:</a:t>
          </a:r>
          <a:endParaRPr lang="es-ES" sz="1000" b="0" i="0" strike="noStrike">
            <a:solidFill>
              <a:srgbClr val="000000"/>
            </a:solidFill>
            <a:latin typeface="Helv"/>
          </a:endParaRPr>
        </a:p>
      </xdr:txBody>
    </xdr:sp>
    <xdr:clientData/>
  </xdr:twoCellAnchor>
  <xdr:twoCellAnchor>
    <xdr:from>
      <xdr:col>0</xdr:col>
      <xdr:colOff>12988</xdr:colOff>
      <xdr:row>45</xdr:row>
      <xdr:rowOff>36007</xdr:rowOff>
    </xdr:from>
    <xdr:to>
      <xdr:col>0</xdr:col>
      <xdr:colOff>295366</xdr:colOff>
      <xdr:row>45</xdr:row>
      <xdr:rowOff>158450</xdr:rowOff>
    </xdr:to>
    <xdr:sp macro="" textlink="">
      <xdr:nvSpPr>
        <xdr:cNvPr id="10" name="15 Rectángulo"/>
        <xdr:cNvSpPr/>
      </xdr:nvSpPr>
      <xdr:spPr>
        <a:xfrm>
          <a:off x="12988" y="10153462"/>
          <a:ext cx="277273" cy="113024"/>
        </a:xfrm>
        <a:prstGeom prst="rect">
          <a:avLst/>
        </a:prstGeom>
        <a:solidFill>
          <a:srgbClr val="FFFF00"/>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MX"/>
        </a:p>
      </xdr:txBody>
    </xdr:sp>
    <xdr:clientData/>
  </xdr:twoCellAnchor>
  <xdr:twoCellAnchor>
    <xdr:from>
      <xdr:col>0</xdr:col>
      <xdr:colOff>14538</xdr:colOff>
      <xdr:row>44</xdr:row>
      <xdr:rowOff>6410</xdr:rowOff>
    </xdr:from>
    <xdr:to>
      <xdr:col>0</xdr:col>
      <xdr:colOff>294243</xdr:colOff>
      <xdr:row>44</xdr:row>
      <xdr:rowOff>137041</xdr:rowOff>
    </xdr:to>
    <xdr:sp macro="" textlink="">
      <xdr:nvSpPr>
        <xdr:cNvPr id="11" name="16 Rectángulo"/>
        <xdr:cNvSpPr/>
      </xdr:nvSpPr>
      <xdr:spPr>
        <a:xfrm>
          <a:off x="14538" y="9980990"/>
          <a:ext cx="283602" cy="117854"/>
        </a:xfrm>
        <a:prstGeom prst="rect">
          <a:avLst/>
        </a:prstGeom>
        <a:solidFill>
          <a:schemeClr val="bg1"/>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MX"/>
        </a:p>
      </xdr:txBody>
    </xdr:sp>
    <xdr:clientData/>
  </xdr:twoCellAnchor>
  <xdr:twoCellAnchor>
    <xdr:from>
      <xdr:col>0</xdr:col>
      <xdr:colOff>13624</xdr:colOff>
      <xdr:row>46</xdr:row>
      <xdr:rowOff>34367</xdr:rowOff>
    </xdr:from>
    <xdr:to>
      <xdr:col>0</xdr:col>
      <xdr:colOff>300262</xdr:colOff>
      <xdr:row>46</xdr:row>
      <xdr:rowOff>147250</xdr:rowOff>
    </xdr:to>
    <xdr:sp macro="" textlink="">
      <xdr:nvSpPr>
        <xdr:cNvPr id="12" name="17 Rectángulo"/>
        <xdr:cNvSpPr/>
      </xdr:nvSpPr>
      <xdr:spPr>
        <a:xfrm>
          <a:off x="13624" y="10311842"/>
          <a:ext cx="281650" cy="109649"/>
        </a:xfrm>
        <a:prstGeom prst="rect">
          <a:avLst/>
        </a:prstGeom>
        <a:solidFill>
          <a:srgbClr val="FA9104"/>
        </a:solidFill>
        <a:ln w="63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MX"/>
        </a:p>
      </xdr:txBody>
    </xdr:sp>
    <xdr:clientData/>
  </xdr:twoCellAnchor>
  <xdr:twoCellAnchor>
    <xdr:from>
      <xdr:col>0</xdr:col>
      <xdr:colOff>0</xdr:colOff>
      <xdr:row>39</xdr:row>
      <xdr:rowOff>148365</xdr:rowOff>
    </xdr:from>
    <xdr:to>
      <xdr:col>0</xdr:col>
      <xdr:colOff>95250</xdr:colOff>
      <xdr:row>40</xdr:row>
      <xdr:rowOff>121296</xdr:rowOff>
    </xdr:to>
    <xdr:sp macro="" textlink="">
      <xdr:nvSpPr>
        <xdr:cNvPr id="13" name="Text Box 19"/>
        <xdr:cNvSpPr txBox="1">
          <a:spLocks noChangeArrowheads="1"/>
        </xdr:cNvSpPr>
      </xdr:nvSpPr>
      <xdr:spPr bwMode="auto">
        <a:xfrm>
          <a:off x="0" y="9075195"/>
          <a:ext cx="95250" cy="151086"/>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a:solidFill>
                <a:srgbClr val="000000"/>
              </a:solidFill>
              <a:latin typeface="Arial" pitchFamily="34" charset="0"/>
              <a:cs typeface="Arial" pitchFamily="34" charset="0"/>
            </a:rPr>
            <a:t>3</a:t>
          </a:r>
        </a:p>
        <a:p>
          <a:pPr algn="l" rtl="0">
            <a:lnSpc>
              <a:spcPts val="1000"/>
            </a:lnSpc>
            <a:defRPr sz="1000"/>
          </a:pPr>
          <a:endParaRPr lang="es-ES" sz="1000" b="0" i="0" strike="noStrike">
            <a:solidFill>
              <a:srgbClr val="000000"/>
            </a:solidFill>
            <a:latin typeface="Helv"/>
          </a:endParaRPr>
        </a:p>
      </xdr:txBody>
    </xdr:sp>
    <xdr:clientData/>
  </xdr:twoCellAnchor>
  <xdr:twoCellAnchor>
    <xdr:from>
      <xdr:col>0</xdr:col>
      <xdr:colOff>9525</xdr:colOff>
      <xdr:row>38</xdr:row>
      <xdr:rowOff>1395692</xdr:rowOff>
    </xdr:from>
    <xdr:to>
      <xdr:col>0</xdr:col>
      <xdr:colOff>104775</xdr:colOff>
      <xdr:row>39</xdr:row>
      <xdr:rowOff>89901</xdr:rowOff>
    </xdr:to>
    <xdr:sp macro="" textlink="">
      <xdr:nvSpPr>
        <xdr:cNvPr id="14" name="Text Box 19"/>
        <xdr:cNvSpPr txBox="1">
          <a:spLocks noChangeArrowheads="1"/>
        </xdr:cNvSpPr>
      </xdr:nvSpPr>
      <xdr:spPr bwMode="auto">
        <a:xfrm>
          <a:off x="9525" y="8870912"/>
          <a:ext cx="95250" cy="149629"/>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a:solidFill>
                <a:srgbClr val="000000"/>
              </a:solidFill>
              <a:latin typeface="Arial" pitchFamily="34" charset="0"/>
              <a:cs typeface="Arial" pitchFamily="34" charset="0"/>
            </a:rPr>
            <a:t>2</a:t>
          </a:r>
        </a:p>
        <a:p>
          <a:pPr algn="l" rtl="0">
            <a:defRPr sz="1000"/>
          </a:pPr>
          <a:endParaRPr lang="es-ES" sz="1000" b="0" i="0" strike="noStrike">
            <a:solidFill>
              <a:srgbClr val="000000"/>
            </a:solidFill>
            <a:latin typeface="Helv"/>
          </a:endParaRPr>
        </a:p>
      </xdr:txBody>
    </xdr:sp>
    <xdr:clientData/>
  </xdr:twoCellAnchor>
  <xdr:twoCellAnchor>
    <xdr:from>
      <xdr:col>0</xdr:col>
      <xdr:colOff>7620</xdr:colOff>
      <xdr:row>38</xdr:row>
      <xdr:rowOff>25997</xdr:rowOff>
    </xdr:from>
    <xdr:to>
      <xdr:col>0</xdr:col>
      <xdr:colOff>102870</xdr:colOff>
      <xdr:row>39</xdr:row>
      <xdr:rowOff>72756</xdr:rowOff>
    </xdr:to>
    <xdr:sp macro="" textlink="">
      <xdr:nvSpPr>
        <xdr:cNvPr id="15" name="Text Box 19"/>
        <xdr:cNvSpPr txBox="1">
          <a:spLocks noChangeArrowheads="1"/>
        </xdr:cNvSpPr>
      </xdr:nvSpPr>
      <xdr:spPr bwMode="auto">
        <a:xfrm>
          <a:off x="7620" y="7196417"/>
          <a:ext cx="95250" cy="229639"/>
        </a:xfrm>
        <a:prstGeom prst="rect">
          <a:avLst/>
        </a:prstGeom>
        <a:noFill/>
        <a:ln w="9525">
          <a:noFill/>
          <a:miter lim="800000"/>
          <a:headEnd/>
          <a:tailEnd/>
        </a:ln>
      </xdr:spPr>
      <xdr:txBody>
        <a:bodyPr vertOverflow="clip" wrap="square" lIns="18288" tIns="18288" rIns="0" bIns="0" anchor="t" upright="1"/>
        <a:lstStyle/>
        <a:p>
          <a:pPr algn="l" rtl="0">
            <a:defRPr sz="1000"/>
          </a:pPr>
          <a:r>
            <a:rPr lang="es-ES" sz="800" b="0" i="0" strike="noStrike">
              <a:solidFill>
                <a:srgbClr val="000000"/>
              </a:solidFill>
              <a:latin typeface="Arial" pitchFamily="34" charset="0"/>
              <a:cs typeface="Arial" pitchFamily="34" charset="0"/>
            </a:rPr>
            <a:t>1</a:t>
          </a:r>
        </a:p>
        <a:p>
          <a:pPr algn="l" rtl="0">
            <a:lnSpc>
              <a:spcPts val="1000"/>
            </a:lnSpc>
            <a:defRPr sz="1000"/>
          </a:pPr>
          <a:endParaRPr lang="es-ES" sz="1000" b="0" i="0" strike="noStrike">
            <a:solidFill>
              <a:srgbClr val="000000"/>
            </a:solidFill>
            <a:latin typeface="Helv"/>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49530</xdr:rowOff>
    </xdr:from>
    <xdr:to>
      <xdr:col>0</xdr:col>
      <xdr:colOff>1371601</xdr:colOff>
      <xdr:row>1</xdr:row>
      <xdr:rowOff>111322</xdr:rowOff>
    </xdr:to>
    <xdr:sp macro="" textlink="">
      <xdr:nvSpPr>
        <xdr:cNvPr id="2" name="Rectángulo 1">
          <a:hlinkClick xmlns:r="http://schemas.openxmlformats.org/officeDocument/2006/relationships" r:id="rId1"/>
        </xdr:cNvPr>
        <xdr:cNvSpPr/>
      </xdr:nvSpPr>
      <xdr:spPr>
        <a:xfrm>
          <a:off x="0" y="466725"/>
          <a:ext cx="1371601" cy="254173"/>
        </a:xfrm>
        <a:prstGeom prst="rect">
          <a:avLst/>
        </a:prstGeom>
        <a:solidFill>
          <a:schemeClr val="bg1">
            <a:lumMod val="65000"/>
          </a:schemeClr>
        </a:solidFill>
        <a:ln>
          <a:solidFill>
            <a:schemeClr val="bg1">
              <a:lumMod val="65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s-MX" sz="1100"/>
            <a:t>Menú</a:t>
          </a:r>
          <a:r>
            <a:rPr lang="es-MX" sz="1100" baseline="0"/>
            <a:t> Principal </a:t>
          </a:r>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pipafer/Library/Containers/com.apple.mail/Data/Library/Mail%20Downloads/E2AC89B3-FEDD-4C08-863C-5AA77082C088/Modelo%20Aspen%20Hombres%20y%20mujeres%20021214.xls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incipal T"/>
      <sheetName val="Referencia grafica Beneficiados"/>
      <sheetName val="Agropecuario H"/>
      <sheetName val="Agropecuario M"/>
      <sheetName val="Construcción H"/>
      <sheetName val="Construcción M"/>
      <sheetName val="Ind.Manufacturera H"/>
      <sheetName val="Ind.Manufacturera M"/>
      <sheetName val="Comercio H"/>
      <sheetName val="Comercio M"/>
      <sheetName val="Servicios H"/>
      <sheetName val="Servicios M"/>
      <sheetName val="ENOE 1-14"/>
      <sheetName val="Utilización ByS 2008"/>
      <sheetName val="Valores en precios 2014"/>
      <sheetName val="Efecto piramidado "/>
    </sheetNames>
    <sheetDataSet>
      <sheetData sheetId="0"/>
      <sheetData sheetId="1"/>
      <sheetData sheetId="2">
        <row r="22">
          <cell r="D22">
            <v>1736834.3842782697</v>
          </cell>
          <cell r="E22">
            <v>1642505.8817535255</v>
          </cell>
          <cell r="F22">
            <v>703217.58588024834</v>
          </cell>
          <cell r="G22">
            <v>212657.07500614107</v>
          </cell>
          <cell r="H22">
            <v>100893.07308181544</v>
          </cell>
        </row>
        <row r="53">
          <cell r="H53">
            <v>864315.49363986868</v>
          </cell>
          <cell r="K53">
            <v>73466816.959388837</v>
          </cell>
        </row>
        <row r="54">
          <cell r="H54">
            <v>184284.58809216321</v>
          </cell>
          <cell r="K54">
            <v>15664189.987833872</v>
          </cell>
        </row>
        <row r="55">
          <cell r="H55">
            <v>125513.81730600144</v>
          </cell>
          <cell r="K55">
            <v>10668674.471010122</v>
          </cell>
        </row>
        <row r="56">
          <cell r="H56">
            <v>98062.915446533123</v>
          </cell>
          <cell r="K56">
            <v>8442187.3593343124</v>
          </cell>
        </row>
        <row r="57">
          <cell r="H57">
            <v>81669.429404029623</v>
          </cell>
          <cell r="K57">
            <v>7551686.2939877044</v>
          </cell>
        </row>
        <row r="58">
          <cell r="H58">
            <v>70605.752579936292</v>
          </cell>
          <cell r="K58">
            <v>6978919.705134931</v>
          </cell>
        </row>
        <row r="59">
          <cell r="H59">
            <v>62561.471318749711</v>
          </cell>
          <cell r="K59">
            <v>6582749.2928945031</v>
          </cell>
        </row>
        <row r="60">
          <cell r="H60">
            <v>56409.878736628685</v>
          </cell>
          <cell r="K60">
            <v>6295201.4423109181</v>
          </cell>
        </row>
        <row r="61">
          <cell r="H61">
            <v>51530.646616799524</v>
          </cell>
          <cell r="K61">
            <v>6079302.2692936147</v>
          </cell>
        </row>
        <row r="62">
          <cell r="H62">
            <v>47551.888612815179</v>
          </cell>
          <cell r="K62">
            <v>5913148.676836485</v>
          </cell>
        </row>
      </sheetData>
      <sheetData sheetId="3">
        <row r="22">
          <cell r="D22">
            <v>155444.47600257976</v>
          </cell>
          <cell r="E22">
            <v>158919.05250124497</v>
          </cell>
          <cell r="F22">
            <v>52284.746147377933</v>
          </cell>
          <cell r="G22">
            <v>11743.175785151179</v>
          </cell>
          <cell r="H22">
            <v>3092.5495636461601</v>
          </cell>
        </row>
        <row r="53">
          <cell r="H53">
            <v>83626.001487893256</v>
          </cell>
          <cell r="K53">
            <v>7108210.1264709271</v>
          </cell>
        </row>
        <row r="54">
          <cell r="H54">
            <v>17830.275346669034</v>
          </cell>
          <cell r="K54">
            <v>1515573.4044668679</v>
          </cell>
        </row>
        <row r="55">
          <cell r="H55">
            <v>12143.966815381733</v>
          </cell>
          <cell r="K55">
            <v>1032237.1793074473</v>
          </cell>
        </row>
        <row r="56">
          <cell r="H56">
            <v>9487.9816147966194</v>
          </cell>
          <cell r="K56">
            <v>816815.59322703339</v>
          </cell>
        </row>
        <row r="57">
          <cell r="H57">
            <v>7901.8458827980648</v>
          </cell>
          <cell r="K57">
            <v>730656.03232174728</v>
          </cell>
        </row>
        <row r="58">
          <cell r="H58">
            <v>6831.3906365813309</v>
          </cell>
          <cell r="K58">
            <v>675238.56038692663</v>
          </cell>
        </row>
        <row r="59">
          <cell r="H59">
            <v>6053.0740592814982</v>
          </cell>
          <cell r="K59">
            <v>636907.47905462875</v>
          </cell>
        </row>
        <row r="60">
          <cell r="H60">
            <v>5457.8827267057204</v>
          </cell>
          <cell r="K60">
            <v>609086.06759354146</v>
          </cell>
        </row>
        <row r="61">
          <cell r="H61">
            <v>4985.7973880589998</v>
          </cell>
          <cell r="K61">
            <v>588196.95395756641</v>
          </cell>
        </row>
        <row r="62">
          <cell r="H62">
            <v>4600.8365430787089</v>
          </cell>
          <cell r="K62">
            <v>572120.92538665188</v>
          </cell>
        </row>
      </sheetData>
      <sheetData sheetId="4">
        <row r="22">
          <cell r="D22">
            <v>216451.59759171458</v>
          </cell>
          <cell r="E22">
            <v>716611.04297690629</v>
          </cell>
          <cell r="F22">
            <v>1463654.6024610528</v>
          </cell>
          <cell r="G22">
            <v>859600.89532119012</v>
          </cell>
          <cell r="H22">
            <v>218295.86164913603</v>
          </cell>
        </row>
      </sheetData>
      <sheetData sheetId="5">
        <row r="22">
          <cell r="D22">
            <v>5135.50529231378</v>
          </cell>
          <cell r="E22">
            <v>20492.888772381048</v>
          </cell>
          <cell r="F22">
            <v>32557.231842912257</v>
          </cell>
          <cell r="G22">
            <v>35623.327371649022</v>
          </cell>
          <cell r="H22">
            <v>24448.046720743892</v>
          </cell>
        </row>
      </sheetData>
      <sheetData sheetId="6">
        <row r="22">
          <cell r="D22">
            <v>258887.9101697033</v>
          </cell>
          <cell r="E22">
            <v>1380397.2235531316</v>
          </cell>
          <cell r="F22">
            <v>1883041.2154733399</v>
          </cell>
          <cell r="G22">
            <v>1016224.0319010711</v>
          </cell>
          <cell r="H22">
            <v>420436.6189027541</v>
          </cell>
        </row>
      </sheetData>
      <sheetData sheetId="7">
        <row r="22">
          <cell r="D22">
            <v>585650.18624087272</v>
          </cell>
          <cell r="E22">
            <v>1044167.6363058757</v>
          </cell>
          <cell r="F22">
            <v>731677.17457943561</v>
          </cell>
          <cell r="G22">
            <v>212563.32144707389</v>
          </cell>
          <cell r="H22">
            <v>90685.681426742129</v>
          </cell>
        </row>
      </sheetData>
      <sheetData sheetId="8">
        <row r="22">
          <cell r="D22">
            <v>439224.70757636242</v>
          </cell>
          <cell r="E22">
            <v>1409347.4554933652</v>
          </cell>
          <cell r="F22">
            <v>1426920.3232205699</v>
          </cell>
          <cell r="G22">
            <v>847368.99292219803</v>
          </cell>
          <cell r="H22">
            <v>363169.52078750456</v>
          </cell>
        </row>
      </sheetData>
      <sheetData sheetId="9">
        <row r="22">
          <cell r="D22">
            <v>1342397.1022926699</v>
          </cell>
          <cell r="E22">
            <v>1580117.3108599258</v>
          </cell>
          <cell r="F22">
            <v>847696.10188626067</v>
          </cell>
          <cell r="G22">
            <v>362496.7505861065</v>
          </cell>
          <cell r="H22">
            <v>114358.73437503703</v>
          </cell>
        </row>
      </sheetData>
      <sheetData sheetId="10">
        <row r="22">
          <cell r="D22">
            <v>729979.19913718617</v>
          </cell>
          <cell r="E22">
            <v>2411971.7980259685</v>
          </cell>
          <cell r="F22">
            <v>3152858.6587769403</v>
          </cell>
          <cell r="G22">
            <v>2825930.1205551289</v>
          </cell>
          <cell r="H22">
            <v>1543221.2235047761</v>
          </cell>
        </row>
      </sheetData>
      <sheetData sheetId="11">
        <row r="22">
          <cell r="D22">
            <v>1708354.2973822257</v>
          </cell>
          <cell r="E22">
            <v>3064573.9260548786</v>
          </cell>
          <cell r="F22">
            <v>2135838.2630057037</v>
          </cell>
          <cell r="G22">
            <v>1839469.2587712011</v>
          </cell>
          <cell r="H22">
            <v>846354.25478599069</v>
          </cell>
        </row>
      </sheetData>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dimension ref="A1:Q101"/>
  <sheetViews>
    <sheetView showGridLines="0" tabSelected="1" zoomScale="70" zoomScaleNormal="70" zoomScaleSheetLayoutView="50" zoomScalePageLayoutView="70" workbookViewId="0"/>
  </sheetViews>
  <sheetFormatPr baseColWidth="10" defaultColWidth="20.33203125" defaultRowHeight="14" x14ac:dyDescent="0"/>
  <cols>
    <col min="1" max="1" width="18.6640625" customWidth="1"/>
    <col min="4" max="4" width="12.6640625" customWidth="1"/>
    <col min="5" max="6" width="20.33203125" hidden="1" customWidth="1"/>
    <col min="7" max="7" width="16.6640625" bestFit="1" customWidth="1"/>
    <col min="8" max="8" width="18.5" customWidth="1"/>
    <col min="9" max="9" width="16.6640625" customWidth="1"/>
    <col min="10" max="10" width="20.6640625" customWidth="1"/>
    <col min="11" max="19" width="20.33203125" customWidth="1"/>
  </cols>
  <sheetData>
    <row r="1" spans="1:17" s="7" customFormat="1" ht="30.75" customHeight="1">
      <c r="A1" s="694"/>
      <c r="B1" s="729" t="s">
        <v>241</v>
      </c>
      <c r="C1" s="729"/>
      <c r="D1" s="729"/>
      <c r="E1" s="729"/>
      <c r="F1" s="729"/>
      <c r="G1" s="729"/>
      <c r="H1" s="729"/>
      <c r="I1" s="729"/>
      <c r="J1" s="729"/>
      <c r="K1" s="729"/>
      <c r="L1" s="729"/>
      <c r="M1" s="729"/>
      <c r="N1" s="729"/>
      <c r="O1" s="729"/>
      <c r="P1" s="729"/>
      <c r="Q1"/>
    </row>
    <row r="2" spans="1:17" s="7" customFormat="1" ht="30.75" customHeight="1">
      <c r="A2" s="694"/>
      <c r="B2" s="739" t="s">
        <v>352</v>
      </c>
      <c r="C2" s="739"/>
      <c r="D2" s="739"/>
      <c r="E2" s="739"/>
      <c r="F2" s="739"/>
      <c r="G2" s="739"/>
      <c r="H2" s="739"/>
      <c r="I2" s="739"/>
      <c r="J2" s="739"/>
      <c r="K2" s="739"/>
      <c r="L2" s="739"/>
      <c r="M2" s="739"/>
      <c r="N2" s="739"/>
      <c r="O2" s="739"/>
      <c r="P2" s="739"/>
    </row>
    <row r="3" spans="1:17" s="7" customFormat="1" ht="30.75" customHeight="1" thickBot="1">
      <c r="A3" s="695"/>
      <c r="B3" s="695"/>
      <c r="C3" s="695"/>
      <c r="D3" s="695"/>
      <c r="E3" s="695"/>
      <c r="F3" s="695"/>
      <c r="G3" s="695"/>
      <c r="H3" s="695"/>
      <c r="I3" s="695"/>
      <c r="J3" s="695"/>
      <c r="K3" s="695"/>
      <c r="L3" s="695"/>
      <c r="M3" s="695"/>
      <c r="N3" s="695"/>
      <c r="O3" s="695"/>
      <c r="P3" s="695"/>
    </row>
    <row r="4" spans="1:17" s="7" customFormat="1" ht="26.25" customHeight="1">
      <c r="A4" s="695"/>
      <c r="B4" s="740" t="s">
        <v>67</v>
      </c>
      <c r="C4" s="741"/>
      <c r="D4" s="741"/>
      <c r="E4" s="741"/>
      <c r="F4" s="741"/>
      <c r="G4" s="741"/>
      <c r="H4" s="741"/>
      <c r="I4" s="741"/>
      <c r="J4" s="741"/>
      <c r="K4" s="741"/>
      <c r="L4" s="741"/>
      <c r="M4" s="741"/>
      <c r="N4" s="741"/>
      <c r="O4" s="741"/>
      <c r="P4" s="742"/>
    </row>
    <row r="5" spans="1:17" s="7" customFormat="1" ht="21.75" customHeight="1" thickBot="1">
      <c r="A5" s="695"/>
      <c r="B5" s="696"/>
      <c r="C5" s="697"/>
      <c r="D5" s="697"/>
      <c r="E5" s="697"/>
      <c r="F5" s="697"/>
      <c r="G5" s="695"/>
      <c r="H5" s="698"/>
      <c r="I5" s="698"/>
      <c r="J5" s="62">
        <v>85</v>
      </c>
      <c r="K5" s="686"/>
      <c r="L5" s="698"/>
      <c r="M5" s="698"/>
      <c r="N5" s="698"/>
      <c r="O5" s="698"/>
      <c r="P5" s="699"/>
    </row>
    <row r="6" spans="1:17" s="7" customFormat="1" ht="19" thickBot="1">
      <c r="A6" s="695"/>
      <c r="B6" s="733" t="s">
        <v>91</v>
      </c>
      <c r="C6" s="734"/>
      <c r="D6" s="734"/>
      <c r="E6" s="734"/>
      <c r="F6" s="735"/>
      <c r="G6" s="726" t="s">
        <v>70</v>
      </c>
      <c r="H6" s="727"/>
      <c r="I6" s="727"/>
      <c r="J6" s="727"/>
      <c r="K6" s="727"/>
      <c r="L6" s="727"/>
      <c r="M6" s="727"/>
      <c r="N6" s="727"/>
      <c r="O6" s="727"/>
      <c r="P6" s="728"/>
    </row>
    <row r="7" spans="1:17" s="7" customFormat="1" ht="18">
      <c r="A7" s="695"/>
      <c r="B7" s="736"/>
      <c r="C7" s="737"/>
      <c r="D7" s="737"/>
      <c r="E7" s="737"/>
      <c r="F7" s="738"/>
      <c r="G7" s="730" t="s">
        <v>14</v>
      </c>
      <c r="H7" s="731"/>
      <c r="I7" s="730" t="s">
        <v>15</v>
      </c>
      <c r="J7" s="731"/>
      <c r="K7" s="730" t="s">
        <v>182</v>
      </c>
      <c r="L7" s="731"/>
      <c r="M7" s="730" t="s">
        <v>17</v>
      </c>
      <c r="N7" s="731"/>
      <c r="O7" s="732" t="s">
        <v>18</v>
      </c>
      <c r="P7" s="731"/>
      <c r="Q7" s="60"/>
    </row>
    <row r="8" spans="1:17" s="7" customFormat="1" ht="37" thickBot="1">
      <c r="A8" s="695"/>
      <c r="B8" s="736"/>
      <c r="C8" s="737"/>
      <c r="D8" s="737"/>
      <c r="E8" s="737"/>
      <c r="F8" s="738"/>
      <c r="G8" s="700" t="s">
        <v>243</v>
      </c>
      <c r="H8" s="701" t="s">
        <v>242</v>
      </c>
      <c r="I8" s="700" t="s">
        <v>243</v>
      </c>
      <c r="J8" s="701" t="s">
        <v>242</v>
      </c>
      <c r="K8" s="700" t="s">
        <v>243</v>
      </c>
      <c r="L8" s="701" t="s">
        <v>242</v>
      </c>
      <c r="M8" s="700" t="s">
        <v>243</v>
      </c>
      <c r="N8" s="701" t="s">
        <v>242</v>
      </c>
      <c r="O8" s="700" t="s">
        <v>243</v>
      </c>
      <c r="P8" s="701" t="s">
        <v>181</v>
      </c>
      <c r="Q8" s="60"/>
    </row>
    <row r="9" spans="1:17" s="7" customFormat="1" ht="18">
      <c r="A9" s="695"/>
      <c r="B9" s="702" t="s">
        <v>260</v>
      </c>
      <c r="C9" s="703"/>
      <c r="D9" s="704"/>
      <c r="E9" s="704"/>
      <c r="F9" s="705"/>
      <c r="G9" s="724">
        <f>Agropecuario!B15</f>
        <v>0.3329151638701584</v>
      </c>
      <c r="H9" s="725"/>
      <c r="I9" s="724">
        <f>Construcción!B15</f>
        <v>0.29711582481306276</v>
      </c>
      <c r="J9" s="725"/>
      <c r="K9" s="724">
        <f>Ind.Manufacturera!B15</f>
        <v>0.2631891811561895</v>
      </c>
      <c r="L9" s="725"/>
      <c r="M9" s="724">
        <f>Comercio!B15</f>
        <v>0.2631891811561895</v>
      </c>
      <c r="N9" s="725"/>
      <c r="O9" s="724">
        <f>Servicios!B15</f>
        <v>0.2631891811561895</v>
      </c>
      <c r="P9" s="725"/>
      <c r="Q9" s="60"/>
    </row>
    <row r="10" spans="1:17" s="7" customFormat="1" ht="18">
      <c r="A10" s="695"/>
      <c r="B10" s="706" t="s">
        <v>244</v>
      </c>
      <c r="C10" s="707"/>
      <c r="D10" s="707"/>
      <c r="E10" s="707"/>
      <c r="F10" s="708"/>
      <c r="G10" s="709">
        <f>IF(J5=67,0,SUM(Agropecuario!D25:H25))</f>
        <v>3179993.0029688268</v>
      </c>
      <c r="H10" s="710">
        <f>IF(J5=67,0,SUM(Agropecuario!D25:H25))</f>
        <v>3179993.0029688268</v>
      </c>
      <c r="I10" s="709">
        <f>IF(J5=67,0,SUM(Construcción!D25:H25))</f>
        <v>240919.39591214809</v>
      </c>
      <c r="J10" s="710">
        <f>IF(J5=67,0,SUM(Construcción!D25:H25))</f>
        <v>240919.39591214809</v>
      </c>
      <c r="K10" s="709">
        <f>IF(J5=67,0,SUM(Ind.Manufacturera!D25:H25))</f>
        <v>3211418.0509820897</v>
      </c>
      <c r="L10" s="710">
        <f>IF(J5=67,0,SUM(Ind.Manufacturera!D25:H25))</f>
        <v>3211418.0509820897</v>
      </c>
      <c r="M10" s="709">
        <f>IF(J5=67,0,SUM(Comercio!D25:H25))</f>
        <v>4699961.6520091519</v>
      </c>
      <c r="N10" s="710">
        <f>IF(J5=67,0,SUM(Comercio!D25:H25))</f>
        <v>4699961.6520091519</v>
      </c>
      <c r="O10" s="709">
        <f>IF(J5=67,0,SUM(Servicios!D25:H25))</f>
        <v>4414387.009729242</v>
      </c>
      <c r="P10" s="710">
        <f>IF(J5=67,0,SUM(Servicios!D25:H25))</f>
        <v>4414387.009729242</v>
      </c>
      <c r="Q10" s="60"/>
    </row>
    <row r="11" spans="1:17" s="7" customFormat="1" ht="18">
      <c r="A11" s="695"/>
      <c r="B11" s="706" t="s">
        <v>154</v>
      </c>
      <c r="C11" s="707"/>
      <c r="D11" s="707"/>
      <c r="E11" s="707"/>
      <c r="F11" s="708"/>
      <c r="G11" s="711">
        <f>Agropecuario!B37</f>
        <v>0.12465906855252118</v>
      </c>
      <c r="H11" s="712">
        <f>'Efecto piramidado '!B39</f>
        <v>0.12465906855252107</v>
      </c>
      <c r="I11" s="711">
        <f>Construcción!B37</f>
        <v>4.5832729614046297E-3</v>
      </c>
      <c r="J11" s="712">
        <f>'Efecto piramidado '!C39</f>
        <v>4.5832729614045942E-3</v>
      </c>
      <c r="K11" s="711">
        <f>Ind.Manufacturera!B37</f>
        <v>4.4649226123897247E-2</v>
      </c>
      <c r="L11" s="712">
        <f>'Efecto piramidado '!D39</f>
        <v>4.4649226123897323E-2</v>
      </c>
      <c r="M11" s="711">
        <f>Comercio!B37</f>
        <v>7.6817739944549851E-2</v>
      </c>
      <c r="N11" s="712">
        <f>'Efecto piramidado '!E39</f>
        <v>7.6817739944549768E-2</v>
      </c>
      <c r="O11" s="711">
        <f>Servicios!B37</f>
        <v>1.1554988909189901E-2</v>
      </c>
      <c r="P11" s="712">
        <f>'Efecto piramidado '!F39</f>
        <v>1.1554988909189934E-2</v>
      </c>
      <c r="Q11" s="60"/>
    </row>
    <row r="12" spans="1:17" ht="22.5" customHeight="1">
      <c r="A12" s="354"/>
      <c r="B12" s="706" t="s">
        <v>69</v>
      </c>
      <c r="C12" s="713"/>
      <c r="D12" s="707"/>
      <c r="E12" s="707"/>
      <c r="F12" s="708"/>
      <c r="G12" s="711">
        <f>Agropecuario!B35</f>
        <v>1.3106567642136246E-2</v>
      </c>
      <c r="H12" s="712">
        <f>'Efecto piramidado '!B37</f>
        <v>1.5238438711992375E-2</v>
      </c>
      <c r="I12" s="711">
        <f>Construcción!B35</f>
        <v>1.1450715944321121E-3</v>
      </c>
      <c r="J12" s="712">
        <f>'Efecto piramidado '!C37</f>
        <v>2.3241497615396067E-3</v>
      </c>
      <c r="K12" s="711">
        <f>Ind.Manufacturera!B35</f>
        <v>2.9020499026646274E-3</v>
      </c>
      <c r="L12" s="712">
        <f>'Efecto piramidado '!D37</f>
        <v>5.3326517416119046E-3</v>
      </c>
      <c r="M12" s="711">
        <f>Comercio!B35</f>
        <v>1.116225367373036E-2</v>
      </c>
      <c r="N12" s="712">
        <f>'Efecto piramidado '!E37</f>
        <v>1.1786645104363114E-2</v>
      </c>
      <c r="O12" s="711">
        <f>Servicios!B35</f>
        <v>3.2859027792577766E-3</v>
      </c>
      <c r="P12" s="712">
        <f>'Efecto piramidado '!F37</f>
        <v>4.0165871475124071E-3</v>
      </c>
      <c r="Q12" s="60"/>
    </row>
    <row r="13" spans="1:17" ht="22.5" customHeight="1">
      <c r="A13" s="354"/>
      <c r="B13" s="706" t="s">
        <v>240</v>
      </c>
      <c r="C13" s="713"/>
      <c r="D13" s="707"/>
      <c r="E13" s="707"/>
      <c r="F13" s="708"/>
      <c r="G13" s="711">
        <f>Agropecuario!B36</f>
        <v>2.4321268543129687E-2</v>
      </c>
      <c r="H13" s="712">
        <f>'Efecto piramidado '!B38</f>
        <v>2.827728587772254E-2</v>
      </c>
      <c r="I13" s="711">
        <f>Construcción!B36</f>
        <v>3.841477999050818E-3</v>
      </c>
      <c r="J13" s="712">
        <f>'Efecto piramidado '!C38</f>
        <v>7.7970410050051554E-3</v>
      </c>
      <c r="K13" s="711">
        <f>Ind.Manufacturera!B36</f>
        <v>1.295489568716833E-2</v>
      </c>
      <c r="L13" s="712">
        <f>'Efecto piramidado '!D38</f>
        <v>2.3805223674873886E-2</v>
      </c>
      <c r="M13" s="711">
        <f>Comercio!B36</f>
        <v>1.7522020377643943E-2</v>
      </c>
      <c r="N13" s="712">
        <f>'Efecto piramidado '!E38</f>
        <v>1.8502162891061495E-2</v>
      </c>
      <c r="O13" s="711">
        <f>Servicios!B36</f>
        <v>7.0690413787562892E-3</v>
      </c>
      <c r="P13" s="712">
        <f>'Efecto piramidado '!F38</f>
        <v>8.6409801672710489E-3</v>
      </c>
      <c r="Q13" s="61"/>
    </row>
    <row r="14" spans="1:17" ht="19" thickBot="1">
      <c r="A14" s="714"/>
      <c r="B14" s="715" t="s">
        <v>350</v>
      </c>
      <c r="C14" s="716"/>
      <c r="D14" s="716"/>
      <c r="E14" s="717"/>
      <c r="F14" s="717"/>
      <c r="G14" s="718">
        <f>Agropecuario!B45</f>
        <v>0.11084467991860947</v>
      </c>
      <c r="H14" s="719">
        <f>'Efecto piramidado '!B41</f>
        <v>0.13138956118200626</v>
      </c>
      <c r="I14" s="718">
        <f>Construcción!B45</f>
        <v>4.6256025015445857E-3</v>
      </c>
      <c r="J14" s="719">
        <f>'Efecto piramidado '!C41</f>
        <v>1.1831053455206761E-2</v>
      </c>
      <c r="K14" s="718">
        <f>Ind.Manufacturera!B45</f>
        <v>4.3301794933358902E-2</v>
      </c>
      <c r="L14" s="719">
        <f>'Efecto piramidado '!D41</f>
        <v>9.9209844090889482E-2</v>
      </c>
      <c r="M14" s="718">
        <f>Comercio!B45</f>
        <v>6.1669942322352934E-2</v>
      </c>
      <c r="N14" s="719">
        <f>'Efecto piramidado '!E41</f>
        <v>6.6273365153664249E-2</v>
      </c>
      <c r="O14" s="718">
        <f>Servicios!B45</f>
        <v>1.1579770319358057E-2</v>
      </c>
      <c r="P14" s="719">
        <f>'Efecto piramidado '!F41</f>
        <v>1.5253885334333535E-2</v>
      </c>
      <c r="Q14" s="61"/>
    </row>
    <row r="15" spans="1:17" ht="18">
      <c r="A15" s="720"/>
      <c r="B15" s="720"/>
      <c r="C15" s="707"/>
      <c r="D15" s="707"/>
      <c r="E15" s="707"/>
      <c r="F15" s="707"/>
      <c r="G15" s="721"/>
      <c r="H15" s="721"/>
      <c r="I15" s="721"/>
      <c r="J15" s="721"/>
      <c r="K15" s="721"/>
      <c r="L15" s="721"/>
      <c r="M15" s="721"/>
      <c r="N15" s="721"/>
      <c r="O15" s="721"/>
      <c r="P15" s="721"/>
      <c r="Q15" s="61"/>
    </row>
    <row r="16" spans="1:17" ht="30">
      <c r="A16" s="166"/>
      <c r="B16" s="714"/>
      <c r="C16" s="722"/>
      <c r="D16" s="722"/>
      <c r="E16" s="354"/>
      <c r="F16" s="722"/>
      <c r="G16" s="722"/>
      <c r="H16" s="723" t="s">
        <v>68</v>
      </c>
      <c r="I16" s="354"/>
      <c r="J16" s="354"/>
      <c r="K16" s="722"/>
      <c r="L16" s="722"/>
      <c r="M16" s="722"/>
      <c r="N16" s="722"/>
      <c r="O16" s="354"/>
      <c r="P16" s="354"/>
    </row>
    <row r="17" spans="1:16" ht="18">
      <c r="A17" s="722"/>
      <c r="B17" s="722"/>
      <c r="C17" s="722"/>
      <c r="D17" s="722"/>
      <c r="E17" s="722"/>
      <c r="F17" s="722"/>
      <c r="G17" s="722"/>
      <c r="H17" s="722"/>
      <c r="I17" s="694" t="s">
        <v>66</v>
      </c>
      <c r="J17" s="722"/>
      <c r="K17" s="722"/>
      <c r="L17" s="722"/>
      <c r="M17" s="722"/>
      <c r="N17" s="354"/>
      <c r="O17" s="354"/>
      <c r="P17" s="354"/>
    </row>
    <row r="18" spans="1:16" ht="18">
      <c r="A18" s="42"/>
      <c r="B18" s="42"/>
      <c r="C18" s="42"/>
      <c r="D18" s="42"/>
      <c r="E18" s="42"/>
      <c r="F18" s="42"/>
      <c r="G18" s="42"/>
      <c r="H18" s="42"/>
      <c r="I18" s="42"/>
      <c r="J18" s="42"/>
      <c r="K18" s="42"/>
      <c r="L18" s="42"/>
      <c r="M18" s="42"/>
    </row>
    <row r="19" spans="1:16" ht="18">
      <c r="A19" s="42"/>
      <c r="B19" s="42"/>
      <c r="C19" s="42"/>
      <c r="D19" s="42"/>
      <c r="E19" s="42"/>
      <c r="F19" s="42"/>
      <c r="G19" s="42"/>
      <c r="H19" s="42"/>
      <c r="I19" s="42"/>
      <c r="J19" s="42"/>
      <c r="K19" s="42"/>
      <c r="L19" s="42"/>
      <c r="M19" s="42"/>
    </row>
    <row r="20" spans="1:16" ht="18">
      <c r="A20" s="42"/>
      <c r="B20" s="42"/>
      <c r="C20" s="42"/>
      <c r="D20" s="42"/>
      <c r="E20" s="42"/>
      <c r="F20" s="42"/>
      <c r="G20" s="42"/>
      <c r="H20" s="42"/>
      <c r="I20" s="42"/>
      <c r="J20" s="42"/>
      <c r="K20" s="42"/>
      <c r="L20" s="42"/>
      <c r="M20" s="42"/>
    </row>
    <row r="21" spans="1:16" ht="18">
      <c r="A21" s="42"/>
      <c r="B21" s="42"/>
      <c r="C21" s="42"/>
      <c r="D21" s="42"/>
      <c r="E21" s="42"/>
      <c r="F21" s="42"/>
      <c r="G21" s="42"/>
      <c r="H21" s="42"/>
      <c r="I21" s="42"/>
      <c r="J21" s="42"/>
      <c r="K21" s="42"/>
      <c r="L21" s="42"/>
      <c r="M21" s="42"/>
    </row>
    <row r="22" spans="1:16" ht="18">
      <c r="A22" s="42"/>
      <c r="B22" s="42"/>
      <c r="C22" s="42"/>
      <c r="D22" s="42"/>
      <c r="E22" s="42"/>
      <c r="F22" s="42"/>
      <c r="G22" s="42"/>
      <c r="H22" s="42"/>
      <c r="I22" s="42"/>
      <c r="J22" s="42"/>
      <c r="K22" s="42"/>
      <c r="L22" s="42"/>
      <c r="M22" s="42"/>
    </row>
    <row r="23" spans="1:16" ht="18">
      <c r="A23" s="42"/>
      <c r="B23" s="42"/>
      <c r="C23" s="42"/>
      <c r="D23" s="42"/>
      <c r="E23" s="42"/>
      <c r="F23" s="42"/>
      <c r="G23" s="42"/>
      <c r="H23" s="42"/>
      <c r="I23" s="42"/>
      <c r="J23" s="42"/>
      <c r="K23" s="42"/>
      <c r="L23" s="42"/>
      <c r="M23" s="42"/>
    </row>
    <row r="24" spans="1:16" ht="18">
      <c r="A24" s="42"/>
      <c r="B24" s="42"/>
      <c r="C24" s="42"/>
      <c r="D24" s="42"/>
      <c r="E24" s="42"/>
      <c r="F24" s="42"/>
      <c r="G24" s="42"/>
      <c r="H24" s="42"/>
      <c r="I24" s="42"/>
      <c r="J24" s="42"/>
      <c r="K24" s="42"/>
      <c r="L24" s="42"/>
      <c r="M24" s="42"/>
    </row>
    <row r="25" spans="1:16" ht="18">
      <c r="A25" s="42"/>
      <c r="B25" s="42"/>
      <c r="C25" s="42"/>
      <c r="D25" s="42"/>
      <c r="E25" s="42"/>
      <c r="F25" s="42"/>
      <c r="G25" s="42"/>
      <c r="H25" s="42"/>
      <c r="I25" s="42"/>
      <c r="J25" s="42"/>
      <c r="K25" s="42"/>
      <c r="L25" s="42"/>
      <c r="M25" s="42"/>
    </row>
    <row r="26" spans="1:16" ht="18">
      <c r="A26" s="42"/>
      <c r="B26" s="42"/>
      <c r="C26" s="42"/>
      <c r="D26" s="42"/>
      <c r="E26" s="42"/>
      <c r="F26" s="42"/>
      <c r="G26" s="42"/>
      <c r="H26" s="42"/>
      <c r="I26" s="42"/>
      <c r="J26" s="42"/>
      <c r="K26" s="42"/>
      <c r="L26" s="42"/>
      <c r="M26" s="42"/>
    </row>
    <row r="27" spans="1:16" ht="18">
      <c r="A27" s="42"/>
      <c r="B27" s="42"/>
      <c r="C27" s="42"/>
      <c r="D27" s="42"/>
      <c r="E27" s="42"/>
      <c r="F27" s="42"/>
      <c r="G27" s="42"/>
      <c r="H27" s="42"/>
      <c r="I27" s="42"/>
      <c r="J27" s="42"/>
      <c r="K27" s="42"/>
      <c r="L27" s="42"/>
      <c r="M27" s="42"/>
    </row>
    <row r="28" spans="1:16" ht="18">
      <c r="A28" s="42"/>
      <c r="B28" s="42"/>
      <c r="C28" s="42"/>
      <c r="D28" s="42"/>
      <c r="E28" s="42"/>
      <c r="F28" s="42"/>
      <c r="G28" s="42"/>
      <c r="H28" s="42"/>
      <c r="I28" s="42"/>
      <c r="J28" s="42"/>
      <c r="K28" s="42"/>
      <c r="L28" s="42"/>
      <c r="M28" s="42"/>
    </row>
    <row r="29" spans="1:16" ht="18">
      <c r="A29" s="42"/>
      <c r="B29" s="42"/>
      <c r="C29" s="42"/>
      <c r="D29" s="42"/>
      <c r="E29" s="42"/>
      <c r="F29" s="42"/>
      <c r="G29" s="42"/>
      <c r="H29" s="42"/>
      <c r="I29" s="42"/>
      <c r="J29" s="42"/>
      <c r="K29" s="42"/>
      <c r="L29" s="42"/>
      <c r="M29" s="42"/>
    </row>
    <row r="30" spans="1:16" ht="18">
      <c r="A30" s="42"/>
      <c r="B30" s="42"/>
      <c r="C30" s="42"/>
      <c r="D30" s="42"/>
      <c r="E30" s="42"/>
      <c r="F30" s="42"/>
      <c r="G30" s="42"/>
      <c r="H30" s="42"/>
      <c r="I30" s="42"/>
      <c r="J30" s="42"/>
      <c r="K30" s="42"/>
      <c r="L30" s="42"/>
      <c r="M30" s="42"/>
    </row>
    <row r="31" spans="1:16" ht="18">
      <c r="A31" s="42"/>
      <c r="B31" s="42"/>
      <c r="C31" s="42"/>
      <c r="D31" s="42"/>
      <c r="E31" s="42"/>
      <c r="F31" s="42"/>
      <c r="G31" s="42"/>
      <c r="H31" s="42"/>
      <c r="I31" s="42"/>
      <c r="J31" s="42"/>
      <c r="K31" s="42"/>
      <c r="L31" s="42"/>
      <c r="M31" s="42"/>
    </row>
    <row r="32" spans="1:16" ht="18">
      <c r="A32" s="42"/>
      <c r="B32" s="42"/>
      <c r="C32" s="42"/>
      <c r="D32" s="42"/>
      <c r="E32" s="42"/>
      <c r="F32" s="42"/>
      <c r="G32" s="42"/>
      <c r="H32" s="42"/>
      <c r="I32" s="42"/>
      <c r="J32" s="42"/>
      <c r="K32" s="42"/>
      <c r="L32" s="42"/>
      <c r="M32" s="42"/>
    </row>
    <row r="33" spans="1:13" ht="18">
      <c r="A33" s="42"/>
      <c r="B33" s="42"/>
      <c r="C33" s="42"/>
      <c r="D33" s="42"/>
      <c r="E33" s="42"/>
      <c r="F33" s="42"/>
      <c r="G33" s="42"/>
      <c r="H33" s="42"/>
      <c r="I33" s="42"/>
      <c r="J33" s="42"/>
      <c r="K33" s="42"/>
      <c r="L33" s="42"/>
      <c r="M33" s="42"/>
    </row>
    <row r="34" spans="1:13" ht="18">
      <c r="A34" s="42"/>
      <c r="B34" s="42"/>
      <c r="C34" s="42"/>
      <c r="D34" s="42"/>
      <c r="E34" s="42"/>
      <c r="F34" s="42"/>
      <c r="G34" s="42"/>
      <c r="H34" s="42"/>
      <c r="I34" s="42"/>
      <c r="J34" s="42"/>
      <c r="K34" s="42"/>
      <c r="L34" s="42"/>
      <c r="M34" s="42"/>
    </row>
    <row r="35" spans="1:13" ht="18">
      <c r="A35" s="42"/>
      <c r="B35" s="42"/>
      <c r="C35" s="42"/>
      <c r="D35" s="42"/>
      <c r="E35" s="42"/>
      <c r="F35" s="42"/>
      <c r="G35" s="42"/>
      <c r="H35" s="42"/>
      <c r="I35" s="42"/>
      <c r="J35" s="42"/>
      <c r="K35" s="42"/>
      <c r="L35" s="42"/>
      <c r="M35" s="42"/>
    </row>
    <row r="36" spans="1:13" ht="18">
      <c r="A36" s="42"/>
      <c r="B36" s="42"/>
      <c r="C36" s="42"/>
      <c r="D36" s="42"/>
      <c r="E36" s="42"/>
      <c r="F36" s="42"/>
      <c r="G36" s="42"/>
      <c r="H36" s="42"/>
      <c r="I36" s="42"/>
      <c r="J36" s="42"/>
      <c r="K36" s="42"/>
      <c r="L36" s="42"/>
      <c r="M36" s="42"/>
    </row>
    <row r="37" spans="1:13" ht="18">
      <c r="A37" s="42"/>
      <c r="B37" s="42"/>
      <c r="C37" s="42"/>
      <c r="D37" s="42"/>
      <c r="E37" s="42"/>
      <c r="F37" s="42"/>
      <c r="G37" s="42"/>
      <c r="H37" s="42"/>
      <c r="I37" s="42"/>
      <c r="J37" s="42"/>
      <c r="K37" s="42"/>
      <c r="L37" s="42"/>
      <c r="M37" s="42"/>
    </row>
    <row r="38" spans="1:13" ht="18">
      <c r="A38" s="42"/>
      <c r="B38" s="42"/>
      <c r="C38" s="42"/>
      <c r="D38" s="42"/>
      <c r="E38" s="42"/>
      <c r="F38" s="42"/>
      <c r="G38" s="42"/>
      <c r="H38" s="42"/>
      <c r="I38" s="42"/>
      <c r="J38" s="42"/>
      <c r="K38" s="42"/>
      <c r="L38" s="42"/>
      <c r="M38" s="42"/>
    </row>
    <row r="39" spans="1:13" ht="18">
      <c r="A39" s="42"/>
      <c r="B39" s="42"/>
      <c r="C39" s="42"/>
      <c r="D39" s="42"/>
      <c r="E39" s="42"/>
      <c r="F39" s="42"/>
      <c r="G39" s="42"/>
      <c r="H39" s="42"/>
      <c r="I39" s="42"/>
      <c r="J39" s="42"/>
      <c r="K39" s="42"/>
      <c r="L39" s="42"/>
      <c r="M39" s="42"/>
    </row>
    <row r="40" spans="1:13" ht="18">
      <c r="A40" s="42"/>
      <c r="B40" s="42"/>
      <c r="C40" s="42"/>
      <c r="D40" s="42"/>
      <c r="E40" s="42"/>
      <c r="F40" s="42"/>
      <c r="G40" s="42"/>
      <c r="H40" s="42"/>
      <c r="I40" s="42"/>
      <c r="J40" s="42"/>
      <c r="K40" s="42"/>
      <c r="L40" s="42"/>
      <c r="M40" s="42"/>
    </row>
    <row r="41" spans="1:13" ht="18">
      <c r="A41" s="42"/>
      <c r="B41" s="42"/>
      <c r="C41" s="42"/>
      <c r="D41" s="42"/>
      <c r="E41" s="42"/>
      <c r="F41" s="42"/>
      <c r="G41" s="42"/>
      <c r="H41" s="42"/>
      <c r="I41" s="42"/>
      <c r="J41" s="42"/>
      <c r="K41" s="42"/>
      <c r="L41" s="42"/>
      <c r="M41" s="42"/>
    </row>
    <row r="42" spans="1:13" ht="18">
      <c r="A42" s="42"/>
      <c r="B42" s="42"/>
      <c r="C42" s="42"/>
      <c r="D42" s="42"/>
      <c r="E42" s="42"/>
      <c r="F42" s="42"/>
      <c r="G42" s="42"/>
      <c r="H42" s="42"/>
      <c r="I42" s="42"/>
      <c r="J42" s="42"/>
      <c r="K42" s="42"/>
      <c r="L42" s="42"/>
      <c r="M42" s="42"/>
    </row>
    <row r="43" spans="1:13" ht="18">
      <c r="A43" s="42"/>
      <c r="B43" s="42"/>
      <c r="C43" s="42"/>
      <c r="D43" s="42"/>
      <c r="E43" s="42"/>
      <c r="F43" s="42"/>
      <c r="G43" s="42"/>
      <c r="H43" s="42"/>
      <c r="I43" s="42"/>
      <c r="J43" s="42"/>
      <c r="K43" s="42"/>
      <c r="L43" s="42"/>
      <c r="M43" s="42"/>
    </row>
    <row r="44" spans="1:13" ht="18">
      <c r="A44" s="42"/>
      <c r="B44" s="42"/>
      <c r="C44" s="42"/>
      <c r="D44" s="42"/>
      <c r="E44" s="42"/>
      <c r="F44" s="42"/>
      <c r="G44" s="42"/>
      <c r="H44" s="42"/>
      <c r="I44" s="42"/>
      <c r="J44" s="42"/>
      <c r="K44" s="42"/>
      <c r="L44" s="42"/>
      <c r="M44" s="42"/>
    </row>
    <row r="45" spans="1:13" ht="18">
      <c r="A45" s="42"/>
      <c r="B45" s="42"/>
      <c r="C45" s="42"/>
      <c r="D45" s="42"/>
      <c r="E45" s="42"/>
      <c r="F45" s="42"/>
      <c r="G45" s="42"/>
      <c r="H45" s="42"/>
      <c r="I45" s="42"/>
      <c r="J45" s="42"/>
      <c r="K45" s="42"/>
      <c r="L45" s="42"/>
      <c r="M45" s="42"/>
    </row>
    <row r="46" spans="1:13" ht="18">
      <c r="A46" s="42"/>
      <c r="B46" s="42"/>
      <c r="C46" s="42"/>
      <c r="D46" s="42"/>
      <c r="E46" s="42"/>
      <c r="F46" s="42"/>
      <c r="G46" s="42"/>
      <c r="H46" s="42"/>
      <c r="I46" s="42"/>
      <c r="J46" s="42"/>
      <c r="K46" s="42"/>
      <c r="L46" s="42"/>
      <c r="M46" s="42"/>
    </row>
    <row r="47" spans="1:13" ht="18">
      <c r="A47" s="42"/>
      <c r="B47" s="42"/>
      <c r="C47" s="42"/>
      <c r="D47" s="42"/>
      <c r="E47" s="42"/>
      <c r="F47" s="42"/>
      <c r="G47" s="42"/>
      <c r="H47" s="42"/>
      <c r="I47" s="42"/>
      <c r="J47" s="42"/>
      <c r="K47" s="42"/>
      <c r="L47" s="42"/>
      <c r="M47" s="42"/>
    </row>
    <row r="48" spans="1:13" ht="18">
      <c r="A48" s="42"/>
      <c r="B48" s="42"/>
      <c r="C48" s="42"/>
      <c r="D48" s="42"/>
      <c r="E48" s="42"/>
      <c r="F48" s="42"/>
      <c r="G48" s="42"/>
      <c r="H48" s="42"/>
      <c r="I48" s="42"/>
      <c r="J48" s="42"/>
      <c r="K48" s="42"/>
      <c r="L48" s="42"/>
      <c r="M48" s="42"/>
    </row>
    <row r="49" spans="1:13" ht="18">
      <c r="A49" s="42"/>
      <c r="B49" s="42"/>
      <c r="C49" s="42"/>
      <c r="D49" s="42"/>
      <c r="E49" s="42"/>
      <c r="F49" s="42"/>
      <c r="G49" s="42"/>
      <c r="H49" s="42"/>
      <c r="I49" s="42"/>
      <c r="J49" s="42"/>
      <c r="K49" s="42"/>
      <c r="L49" s="42"/>
      <c r="M49" s="42"/>
    </row>
    <row r="50" spans="1:13" ht="18">
      <c r="A50" s="42"/>
      <c r="B50" s="42"/>
      <c r="C50" s="42"/>
      <c r="D50" s="42"/>
      <c r="E50" s="42"/>
      <c r="F50" s="42"/>
      <c r="G50" s="42"/>
      <c r="H50" s="42"/>
      <c r="I50" s="42"/>
      <c r="J50" s="42"/>
      <c r="K50" s="42"/>
      <c r="L50" s="42"/>
      <c r="M50" s="42"/>
    </row>
    <row r="51" spans="1:13" ht="18">
      <c r="A51" s="42"/>
      <c r="B51" s="42"/>
      <c r="C51" s="42"/>
      <c r="D51" s="42"/>
      <c r="E51" s="42"/>
      <c r="F51" s="42"/>
      <c r="G51" s="42"/>
      <c r="H51" s="42"/>
      <c r="I51" s="42"/>
      <c r="J51" s="42"/>
      <c r="K51" s="42"/>
      <c r="L51" s="42"/>
      <c r="M51" s="42"/>
    </row>
    <row r="52" spans="1:13" ht="18">
      <c r="A52" s="42"/>
      <c r="B52" s="42"/>
      <c r="C52" s="42"/>
      <c r="D52" s="42"/>
      <c r="E52" s="42"/>
      <c r="F52" s="42"/>
      <c r="G52" s="42"/>
      <c r="H52" s="42"/>
      <c r="I52" s="42"/>
      <c r="J52" s="42"/>
      <c r="K52" s="42"/>
      <c r="L52" s="42"/>
      <c r="M52" s="42"/>
    </row>
    <row r="53" spans="1:13" ht="18">
      <c r="A53" s="42"/>
      <c r="B53" s="42"/>
      <c r="C53" s="42"/>
      <c r="D53" s="42"/>
      <c r="E53" s="42"/>
      <c r="F53" s="42"/>
      <c r="G53" s="42"/>
      <c r="H53" s="42"/>
      <c r="I53" s="42"/>
      <c r="J53" s="42"/>
      <c r="K53" s="42"/>
      <c r="L53" s="42"/>
      <c r="M53" s="42"/>
    </row>
    <row r="54" spans="1:13" ht="18">
      <c r="A54" s="42"/>
      <c r="B54" s="42"/>
      <c r="C54" s="42"/>
      <c r="D54" s="42"/>
      <c r="E54" s="42"/>
      <c r="F54" s="42"/>
      <c r="G54" s="42"/>
      <c r="H54" s="42"/>
      <c r="I54" s="42"/>
      <c r="J54" s="42"/>
      <c r="K54" s="42"/>
      <c r="L54" s="42"/>
      <c r="M54" s="42"/>
    </row>
    <row r="55" spans="1:13" ht="18">
      <c r="A55" s="42"/>
      <c r="B55" s="42"/>
      <c r="C55" s="42"/>
      <c r="D55" s="42"/>
      <c r="E55" s="42"/>
      <c r="F55" s="42"/>
      <c r="G55" s="42"/>
      <c r="H55" s="42"/>
      <c r="I55" s="42"/>
      <c r="J55" s="42"/>
      <c r="K55" s="42"/>
      <c r="L55" s="42"/>
      <c r="M55" s="42"/>
    </row>
    <row r="56" spans="1:13" ht="18">
      <c r="A56" s="42"/>
      <c r="B56" s="42"/>
      <c r="C56" s="42"/>
      <c r="D56" s="42"/>
      <c r="E56" s="42"/>
      <c r="F56" s="42"/>
      <c r="G56" s="42"/>
      <c r="H56" s="42"/>
      <c r="I56" s="42"/>
      <c r="J56" s="42"/>
      <c r="K56" s="42"/>
      <c r="L56" s="42"/>
      <c r="M56" s="42"/>
    </row>
    <row r="57" spans="1:13" ht="18">
      <c r="A57" s="42"/>
      <c r="B57" s="42"/>
      <c r="C57" s="42"/>
      <c r="D57" s="42"/>
      <c r="E57" s="42"/>
      <c r="F57" s="42"/>
      <c r="G57" s="42"/>
      <c r="H57" s="42"/>
      <c r="I57" s="42"/>
      <c r="J57" s="42"/>
      <c r="K57" s="42"/>
      <c r="L57" s="42"/>
      <c r="M57" s="42"/>
    </row>
    <row r="58" spans="1:13" ht="18">
      <c r="A58" s="42"/>
      <c r="B58" s="42"/>
      <c r="C58" s="42"/>
      <c r="D58" s="42"/>
      <c r="E58" s="42"/>
      <c r="F58" s="42"/>
      <c r="G58" s="42"/>
      <c r="H58" s="42"/>
      <c r="I58" s="42"/>
      <c r="J58" s="42"/>
      <c r="K58" s="42"/>
      <c r="L58" s="42"/>
      <c r="M58" s="42"/>
    </row>
    <row r="59" spans="1:13" ht="18">
      <c r="A59" s="42"/>
      <c r="B59" s="42"/>
      <c r="C59" s="42"/>
      <c r="D59" s="42"/>
      <c r="E59" s="42"/>
      <c r="F59" s="42"/>
      <c r="G59" s="42"/>
      <c r="H59" s="42"/>
      <c r="I59" s="42"/>
      <c r="J59" s="42"/>
      <c r="K59" s="42"/>
      <c r="L59" s="42"/>
      <c r="M59" s="42"/>
    </row>
    <row r="60" spans="1:13" ht="18">
      <c r="A60" s="42"/>
      <c r="B60" s="42"/>
      <c r="C60" s="42"/>
      <c r="D60" s="42"/>
      <c r="E60" s="42"/>
      <c r="F60" s="42"/>
      <c r="G60" s="42"/>
      <c r="H60" s="42"/>
      <c r="I60" s="42"/>
      <c r="J60" s="42"/>
      <c r="K60" s="42"/>
      <c r="L60" s="42"/>
      <c r="M60" s="42"/>
    </row>
    <row r="61" spans="1:13" ht="18">
      <c r="A61" s="42"/>
      <c r="B61" s="42"/>
      <c r="C61" s="42"/>
      <c r="D61" s="42"/>
      <c r="E61" s="42"/>
      <c r="F61" s="42"/>
      <c r="G61" s="42"/>
      <c r="H61" s="42"/>
      <c r="I61" s="42"/>
      <c r="J61" s="42"/>
      <c r="K61" s="42"/>
      <c r="L61" s="42"/>
      <c r="M61" s="42"/>
    </row>
    <row r="62" spans="1:13" ht="18">
      <c r="A62" s="42"/>
      <c r="B62" s="42"/>
      <c r="C62" s="42"/>
      <c r="D62" s="42"/>
      <c r="E62" s="42"/>
      <c r="F62" s="42"/>
      <c r="G62" s="42"/>
      <c r="H62" s="42"/>
      <c r="I62" s="42"/>
      <c r="J62" s="42"/>
      <c r="K62" s="42"/>
      <c r="L62" s="42"/>
      <c r="M62" s="42"/>
    </row>
    <row r="63" spans="1:13" ht="18">
      <c r="A63" s="42"/>
      <c r="B63" s="42"/>
      <c r="C63" s="42"/>
      <c r="D63" s="42"/>
      <c r="E63" s="42"/>
      <c r="F63" s="42"/>
      <c r="G63" s="42"/>
      <c r="H63" s="42"/>
      <c r="I63" s="42"/>
      <c r="J63" s="42"/>
      <c r="K63" s="42"/>
      <c r="L63" s="42"/>
      <c r="M63" s="42"/>
    </row>
    <row r="64" spans="1:13" ht="18">
      <c r="A64" s="42"/>
      <c r="B64" s="42"/>
      <c r="C64" s="42"/>
      <c r="D64" s="42"/>
      <c r="E64" s="42"/>
      <c r="F64" s="42"/>
      <c r="G64" s="42"/>
      <c r="H64" s="42"/>
      <c r="I64" s="42"/>
      <c r="J64" s="42"/>
      <c r="K64" s="42"/>
      <c r="L64" s="42"/>
      <c r="M64" s="42"/>
    </row>
    <row r="65" spans="1:13" ht="18">
      <c r="A65" s="42"/>
      <c r="B65" s="42"/>
      <c r="C65" s="42"/>
      <c r="D65" s="42"/>
      <c r="E65" s="42"/>
      <c r="F65" s="42"/>
      <c r="G65" s="42"/>
      <c r="H65" s="42"/>
      <c r="I65" s="42"/>
      <c r="J65" s="42"/>
      <c r="K65" s="42"/>
      <c r="L65" s="42"/>
      <c r="M65" s="42"/>
    </row>
    <row r="66" spans="1:13" ht="18">
      <c r="A66" s="42"/>
      <c r="B66" s="42"/>
      <c r="C66" s="42"/>
      <c r="D66" s="42"/>
      <c r="E66" s="42"/>
      <c r="F66" s="42"/>
      <c r="G66" s="42"/>
      <c r="H66" s="42"/>
      <c r="I66" s="42"/>
      <c r="J66" s="42"/>
      <c r="K66" s="42"/>
      <c r="L66" s="42"/>
      <c r="M66" s="42"/>
    </row>
    <row r="67" spans="1:13" ht="18">
      <c r="A67" s="42"/>
      <c r="B67" s="42"/>
      <c r="C67" s="42"/>
      <c r="D67" s="42"/>
      <c r="E67" s="42"/>
      <c r="F67" s="42"/>
      <c r="G67" s="42"/>
      <c r="H67" s="42"/>
      <c r="I67" s="42"/>
      <c r="J67" s="42"/>
      <c r="K67" s="42"/>
      <c r="L67" s="42"/>
      <c r="M67" s="42"/>
    </row>
    <row r="68" spans="1:13" ht="18">
      <c r="A68" s="42"/>
      <c r="B68" s="42"/>
      <c r="C68" s="42"/>
      <c r="D68" s="42"/>
      <c r="E68" s="42"/>
      <c r="F68" s="42"/>
      <c r="G68" s="42"/>
      <c r="H68" s="42"/>
      <c r="I68" s="42"/>
      <c r="J68" s="42"/>
      <c r="K68" s="42"/>
      <c r="L68" s="42"/>
      <c r="M68" s="42"/>
    </row>
    <row r="69" spans="1:13" ht="18">
      <c r="A69" s="42"/>
      <c r="B69" s="42"/>
      <c r="C69" s="42"/>
      <c r="D69" s="42"/>
      <c r="E69" s="42"/>
      <c r="F69" s="42"/>
      <c r="G69" s="42"/>
      <c r="H69" s="42"/>
      <c r="I69" s="42"/>
      <c r="J69" s="42"/>
      <c r="K69" s="42"/>
      <c r="L69" s="42"/>
      <c r="M69" s="42"/>
    </row>
    <row r="70" spans="1:13" ht="18">
      <c r="A70" s="42"/>
      <c r="B70" s="42"/>
      <c r="C70" s="42"/>
      <c r="D70" s="42"/>
      <c r="E70" s="42"/>
      <c r="F70" s="42"/>
      <c r="G70" s="42"/>
      <c r="H70" s="42"/>
      <c r="I70" s="42"/>
      <c r="J70" s="42"/>
      <c r="K70" s="42"/>
      <c r="L70" s="42"/>
      <c r="M70" s="42"/>
    </row>
    <row r="71" spans="1:13" ht="18">
      <c r="A71" s="42"/>
      <c r="B71" s="42"/>
      <c r="C71" s="42"/>
      <c r="D71" s="42"/>
      <c r="E71" s="42"/>
      <c r="F71" s="42"/>
      <c r="G71" s="42"/>
      <c r="H71" s="42"/>
      <c r="I71" s="42"/>
      <c r="J71" s="42"/>
      <c r="K71" s="42"/>
      <c r="L71" s="42"/>
      <c r="M71" s="42"/>
    </row>
    <row r="72" spans="1:13" ht="18">
      <c r="A72" s="42"/>
      <c r="B72" s="42"/>
      <c r="C72" s="42"/>
      <c r="D72" s="42"/>
      <c r="E72" s="42"/>
      <c r="F72" s="42"/>
      <c r="G72" s="42"/>
      <c r="H72" s="42"/>
      <c r="I72" s="42"/>
      <c r="J72" s="42"/>
      <c r="K72" s="42"/>
      <c r="L72" s="42"/>
      <c r="M72" s="42"/>
    </row>
    <row r="73" spans="1:13" ht="18">
      <c r="A73" s="42"/>
      <c r="B73" s="42"/>
      <c r="C73" s="42"/>
      <c r="D73" s="42"/>
      <c r="E73" s="42"/>
      <c r="F73" s="42"/>
      <c r="G73" s="42"/>
      <c r="H73" s="42"/>
      <c r="I73" s="42"/>
      <c r="J73" s="42"/>
      <c r="K73" s="42"/>
      <c r="L73" s="42"/>
      <c r="M73" s="42"/>
    </row>
    <row r="74" spans="1:13" ht="18">
      <c r="A74" s="42"/>
      <c r="B74" s="42"/>
      <c r="C74" s="42"/>
      <c r="D74" s="42"/>
      <c r="E74" s="42"/>
      <c r="F74" s="42"/>
      <c r="G74" s="42"/>
      <c r="H74" s="42"/>
      <c r="I74" s="42"/>
      <c r="J74" s="42"/>
      <c r="K74" s="42"/>
      <c r="L74" s="42"/>
      <c r="M74" s="42"/>
    </row>
    <row r="75" spans="1:13" ht="18">
      <c r="A75" s="42"/>
      <c r="B75" s="42"/>
      <c r="C75" s="42"/>
      <c r="D75" s="42"/>
      <c r="E75" s="42"/>
      <c r="F75" s="42"/>
      <c r="G75" s="42"/>
      <c r="H75" s="42"/>
      <c r="I75" s="42"/>
      <c r="J75" s="42"/>
      <c r="K75" s="42"/>
      <c r="L75" s="42"/>
      <c r="M75" s="42"/>
    </row>
    <row r="76" spans="1:13" ht="18">
      <c r="A76" s="42"/>
      <c r="B76" s="42"/>
      <c r="C76" s="42"/>
      <c r="D76" s="42"/>
      <c r="E76" s="42"/>
      <c r="F76" s="42"/>
      <c r="G76" s="42"/>
      <c r="H76" s="42"/>
      <c r="I76" s="42"/>
      <c r="J76" s="42"/>
      <c r="K76" s="42"/>
      <c r="L76" s="42"/>
      <c r="M76" s="42"/>
    </row>
    <row r="77" spans="1:13" ht="18">
      <c r="A77" s="42"/>
      <c r="B77" s="42"/>
      <c r="C77" s="42"/>
      <c r="D77" s="42"/>
      <c r="E77" s="42"/>
      <c r="F77" s="42"/>
      <c r="G77" s="42"/>
      <c r="H77" s="42"/>
      <c r="I77" s="42"/>
      <c r="J77" s="42"/>
      <c r="K77" s="42"/>
      <c r="L77" s="42"/>
      <c r="M77" s="42"/>
    </row>
    <row r="78" spans="1:13" ht="18">
      <c r="A78" s="42"/>
      <c r="B78" s="42"/>
      <c r="C78" s="42"/>
      <c r="D78" s="42"/>
      <c r="E78" s="42"/>
      <c r="F78" s="42"/>
      <c r="G78" s="42"/>
      <c r="H78" s="42"/>
      <c r="I78" s="42"/>
      <c r="J78" s="42"/>
      <c r="K78" s="42"/>
      <c r="L78" s="42"/>
      <c r="M78" s="42"/>
    </row>
    <row r="79" spans="1:13" ht="18">
      <c r="A79" s="42"/>
      <c r="B79" s="42"/>
      <c r="C79" s="42"/>
      <c r="D79" s="42"/>
      <c r="E79" s="42"/>
      <c r="F79" s="42"/>
      <c r="G79" s="42"/>
      <c r="H79" s="42"/>
      <c r="I79" s="42"/>
      <c r="J79" s="42"/>
      <c r="K79" s="42"/>
      <c r="L79" s="42"/>
      <c r="M79" s="42"/>
    </row>
    <row r="80" spans="1:13" ht="18">
      <c r="A80" s="42"/>
      <c r="B80" s="42"/>
      <c r="C80" s="42"/>
      <c r="D80" s="42"/>
      <c r="E80" s="42"/>
      <c r="F80" s="42"/>
      <c r="G80" s="42"/>
      <c r="H80" s="42"/>
      <c r="I80" s="42"/>
      <c r="J80" s="42"/>
      <c r="K80" s="42"/>
      <c r="L80" s="42"/>
      <c r="M80" s="42"/>
    </row>
    <row r="81" spans="1:13" ht="18">
      <c r="A81" s="42"/>
      <c r="B81" s="42"/>
      <c r="C81" s="42"/>
      <c r="D81" s="42"/>
      <c r="E81" s="42"/>
      <c r="F81" s="42"/>
      <c r="G81" s="42"/>
      <c r="H81" s="42"/>
      <c r="I81" s="42"/>
      <c r="J81" s="42"/>
      <c r="K81" s="42"/>
      <c r="L81" s="42"/>
      <c r="M81" s="42"/>
    </row>
    <row r="82" spans="1:13" ht="18">
      <c r="A82" s="42"/>
      <c r="B82" s="42"/>
      <c r="C82" s="42"/>
      <c r="D82" s="42"/>
      <c r="E82" s="42"/>
      <c r="F82" s="42"/>
      <c r="G82" s="42"/>
      <c r="H82" s="42"/>
      <c r="I82" s="42"/>
      <c r="J82" s="42"/>
      <c r="K82" s="42"/>
      <c r="L82" s="42"/>
      <c r="M82" s="42"/>
    </row>
    <row r="83" spans="1:13" ht="18">
      <c r="A83" s="42"/>
      <c r="B83" s="42"/>
      <c r="C83" s="42"/>
      <c r="D83" s="42"/>
      <c r="E83" s="42"/>
      <c r="F83" s="42"/>
      <c r="G83" s="42"/>
      <c r="H83" s="42"/>
      <c r="I83" s="42"/>
      <c r="J83" s="42"/>
      <c r="K83" s="42"/>
      <c r="L83" s="42"/>
      <c r="M83" s="42"/>
    </row>
    <row r="84" spans="1:13" ht="18">
      <c r="A84" s="42"/>
      <c r="B84" s="42"/>
      <c r="C84" s="42"/>
      <c r="D84" s="42"/>
      <c r="E84" s="42"/>
      <c r="F84" s="42"/>
      <c r="G84" s="42"/>
      <c r="H84" s="42"/>
      <c r="I84" s="42"/>
      <c r="J84" s="42"/>
      <c r="K84" s="42"/>
      <c r="L84" s="42"/>
      <c r="M84" s="42"/>
    </row>
    <row r="85" spans="1:13" ht="18">
      <c r="A85" s="42"/>
      <c r="B85" s="42"/>
      <c r="C85" s="42"/>
      <c r="D85" s="42"/>
      <c r="E85" s="42"/>
      <c r="F85" s="42"/>
      <c r="G85" s="42"/>
      <c r="H85" s="42"/>
      <c r="I85" s="42"/>
      <c r="J85" s="42"/>
      <c r="K85" s="42"/>
      <c r="L85" s="42"/>
      <c r="M85" s="42"/>
    </row>
    <row r="86" spans="1:13" ht="18">
      <c r="A86" s="42"/>
      <c r="B86" s="42"/>
      <c r="C86" s="42"/>
      <c r="D86" s="42"/>
      <c r="E86" s="42"/>
      <c r="F86" s="42"/>
      <c r="G86" s="42"/>
      <c r="H86" s="42"/>
      <c r="I86" s="42"/>
      <c r="J86" s="42"/>
      <c r="K86" s="42"/>
      <c r="L86" s="42"/>
      <c r="M86" s="42"/>
    </row>
    <row r="87" spans="1:13" ht="18">
      <c r="A87" s="42"/>
      <c r="B87" s="42"/>
      <c r="C87" s="42"/>
      <c r="D87" s="42"/>
      <c r="E87" s="42"/>
      <c r="F87" s="42"/>
      <c r="G87" s="42"/>
      <c r="H87" s="42"/>
      <c r="I87" s="42"/>
      <c r="J87" s="42"/>
      <c r="K87" s="42"/>
      <c r="L87" s="42"/>
      <c r="M87" s="42"/>
    </row>
    <row r="88" spans="1:13" ht="18">
      <c r="A88" s="42"/>
      <c r="B88" s="42"/>
      <c r="C88" s="42"/>
      <c r="D88" s="42"/>
      <c r="E88" s="42"/>
      <c r="F88" s="42"/>
      <c r="G88" s="42"/>
      <c r="H88" s="42"/>
      <c r="I88" s="42"/>
      <c r="J88" s="42"/>
      <c r="K88" s="42"/>
      <c r="L88" s="42"/>
      <c r="M88" s="42"/>
    </row>
    <row r="89" spans="1:13" ht="18">
      <c r="A89" s="42"/>
      <c r="B89" s="42"/>
      <c r="C89" s="42"/>
      <c r="D89" s="42"/>
      <c r="E89" s="42"/>
      <c r="F89" s="42"/>
      <c r="G89" s="42"/>
      <c r="H89" s="42"/>
      <c r="I89" s="42"/>
      <c r="J89" s="42"/>
      <c r="K89" s="42"/>
      <c r="L89" s="42"/>
      <c r="M89" s="42"/>
    </row>
    <row r="90" spans="1:13" ht="18">
      <c r="A90" s="42"/>
      <c r="B90" s="42"/>
      <c r="C90" s="42"/>
      <c r="D90" s="42"/>
      <c r="E90" s="42"/>
      <c r="F90" s="42"/>
      <c r="G90" s="42"/>
      <c r="H90" s="42"/>
      <c r="I90" s="42"/>
      <c r="J90" s="42"/>
      <c r="K90" s="42"/>
      <c r="L90" s="42"/>
      <c r="M90" s="42"/>
    </row>
    <row r="91" spans="1:13" ht="18">
      <c r="A91" s="42"/>
      <c r="B91" s="42"/>
      <c r="C91" s="42"/>
      <c r="D91" s="42"/>
      <c r="E91" s="42"/>
      <c r="F91" s="42"/>
      <c r="G91" s="42"/>
      <c r="H91" s="42"/>
      <c r="I91" s="42"/>
      <c r="J91" s="42"/>
      <c r="K91" s="42"/>
      <c r="L91" s="42"/>
      <c r="M91" s="42"/>
    </row>
    <row r="92" spans="1:13" ht="18">
      <c r="A92" s="42"/>
      <c r="B92" s="42"/>
      <c r="C92" s="42"/>
      <c r="D92" s="42"/>
      <c r="E92" s="42"/>
      <c r="F92" s="42"/>
      <c r="G92" s="42"/>
      <c r="H92" s="42"/>
      <c r="I92" s="42"/>
      <c r="J92" s="42"/>
      <c r="K92" s="42"/>
      <c r="L92" s="42"/>
      <c r="M92" s="42"/>
    </row>
    <row r="93" spans="1:13" ht="18">
      <c r="A93" s="42"/>
      <c r="B93" s="42"/>
      <c r="C93" s="42"/>
      <c r="D93" s="42"/>
      <c r="E93" s="42"/>
      <c r="F93" s="42"/>
      <c r="G93" s="42"/>
      <c r="H93" s="42"/>
      <c r="I93" s="42"/>
      <c r="J93" s="42"/>
      <c r="K93" s="42"/>
      <c r="L93" s="42"/>
      <c r="M93" s="42"/>
    </row>
    <row r="94" spans="1:13" ht="18">
      <c r="A94" s="42"/>
      <c r="B94" s="42"/>
      <c r="C94" s="42"/>
      <c r="D94" s="42"/>
      <c r="E94" s="42"/>
      <c r="F94" s="42"/>
      <c r="G94" s="42"/>
      <c r="H94" s="42"/>
      <c r="I94" s="42"/>
      <c r="J94" s="42"/>
      <c r="K94" s="42"/>
      <c r="L94" s="42"/>
      <c r="M94" s="42"/>
    </row>
    <row r="95" spans="1:13" ht="18">
      <c r="A95" s="42"/>
      <c r="B95" s="42"/>
      <c r="C95" s="42"/>
      <c r="D95" s="42"/>
      <c r="E95" s="42"/>
      <c r="F95" s="42"/>
      <c r="G95" s="42"/>
      <c r="H95" s="42"/>
      <c r="I95" s="42"/>
      <c r="J95" s="42"/>
      <c r="K95" s="42"/>
      <c r="L95" s="42"/>
      <c r="M95" s="42"/>
    </row>
    <row r="96" spans="1:13" ht="18">
      <c r="A96" s="42"/>
      <c r="B96" s="42"/>
      <c r="C96" s="42"/>
      <c r="D96" s="42"/>
      <c r="E96" s="42"/>
      <c r="F96" s="42"/>
      <c r="G96" s="42"/>
      <c r="H96" s="42"/>
      <c r="I96" s="42"/>
      <c r="J96" s="42"/>
      <c r="K96" s="42"/>
      <c r="L96" s="42"/>
      <c r="M96" s="42"/>
    </row>
    <row r="97" spans="1:13" ht="18">
      <c r="A97" s="42"/>
      <c r="B97" s="42"/>
      <c r="C97" s="42"/>
      <c r="D97" s="42"/>
      <c r="E97" s="42"/>
      <c r="F97" s="42"/>
      <c r="G97" s="42"/>
      <c r="H97" s="42"/>
      <c r="I97" s="42"/>
      <c r="J97" s="42"/>
      <c r="K97" s="42"/>
      <c r="L97" s="42"/>
      <c r="M97" s="42"/>
    </row>
    <row r="98" spans="1:13" ht="18">
      <c r="A98" s="42"/>
      <c r="B98" s="42"/>
      <c r="C98" s="42"/>
      <c r="D98" s="42"/>
      <c r="E98" s="42"/>
      <c r="F98" s="42"/>
      <c r="G98" s="42"/>
      <c r="H98" s="42"/>
      <c r="I98" s="42"/>
      <c r="J98" s="42"/>
      <c r="K98" s="42"/>
      <c r="L98" s="42"/>
      <c r="M98" s="42"/>
    </row>
    <row r="99" spans="1:13" ht="18">
      <c r="A99" s="42"/>
      <c r="B99" s="42"/>
      <c r="C99" s="42"/>
      <c r="D99" s="42"/>
      <c r="E99" s="42"/>
      <c r="F99" s="42"/>
      <c r="G99" s="42"/>
      <c r="H99" s="42"/>
      <c r="I99" s="42"/>
      <c r="J99" s="42"/>
      <c r="K99" s="42"/>
      <c r="L99" s="42"/>
      <c r="M99" s="42"/>
    </row>
    <row r="100" spans="1:13" ht="18">
      <c r="A100" s="42"/>
      <c r="B100" s="42"/>
      <c r="C100" s="42"/>
      <c r="D100" s="42"/>
      <c r="E100" s="42"/>
      <c r="F100" s="42"/>
      <c r="G100" s="42"/>
      <c r="H100" s="42"/>
      <c r="I100" s="42"/>
      <c r="J100" s="42"/>
      <c r="K100" s="42"/>
      <c r="L100" s="42"/>
      <c r="M100" s="42"/>
    </row>
    <row r="101" spans="1:13" ht="18">
      <c r="A101" s="42"/>
      <c r="B101" s="42"/>
      <c r="C101" s="42"/>
      <c r="D101" s="42"/>
      <c r="E101" s="42"/>
      <c r="F101" s="42"/>
      <c r="G101" s="42"/>
      <c r="H101" s="42"/>
      <c r="I101" s="42"/>
      <c r="J101" s="42"/>
      <c r="K101" s="42"/>
      <c r="L101" s="42"/>
      <c r="M101" s="42"/>
    </row>
  </sheetData>
  <sheetProtection password="CD86" sheet="1" objects="1" scenarios="1"/>
  <mergeCells count="15">
    <mergeCell ref="G6:P6"/>
    <mergeCell ref="B1:P1"/>
    <mergeCell ref="G7:H7"/>
    <mergeCell ref="I7:J7"/>
    <mergeCell ref="K7:L7"/>
    <mergeCell ref="M7:N7"/>
    <mergeCell ref="O7:P7"/>
    <mergeCell ref="B6:F8"/>
    <mergeCell ref="B2:P2"/>
    <mergeCell ref="B4:P4"/>
    <mergeCell ref="G9:H9"/>
    <mergeCell ref="I9:J9"/>
    <mergeCell ref="K9:L9"/>
    <mergeCell ref="M9:N9"/>
    <mergeCell ref="O9:P9"/>
  </mergeCells>
  <pageMargins left="0.7" right="0.7" top="0.75" bottom="0.75" header="0.3" footer="0.3"/>
  <pageSetup orientation="portrait" verticalDpi="0"/>
  <drawing r:id="rId1"/>
  <legacyDrawing r:id="rId2"/>
  <mc:AlternateContent xmlns:mc="http://schemas.openxmlformats.org/markup-compatibility/2006">
    <mc:Choice Requires="x14">
      <controls>
        <mc:AlternateContent xmlns:mc="http://schemas.openxmlformats.org/markup-compatibility/2006">
          <mc:Choice Requires="x14">
            <control shapeId="100348" r:id="rId3" name="Scroll Bar 1020">
              <controlPr defaultSize="0" autoPict="0">
                <anchor moveWithCells="1">
                  <from>
                    <xdr:col>10</xdr:col>
                    <xdr:colOff>50800</xdr:colOff>
                    <xdr:row>4</xdr:row>
                    <xdr:rowOff>25400</xdr:rowOff>
                  </from>
                  <to>
                    <xdr:col>15</xdr:col>
                    <xdr:colOff>1384300</xdr:colOff>
                    <xdr:row>4</xdr:row>
                    <xdr:rowOff>254000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W54"/>
  <sheetViews>
    <sheetView zoomScale="90" zoomScaleNormal="90" zoomScalePageLayoutView="90" workbookViewId="0"/>
  </sheetViews>
  <sheetFormatPr baseColWidth="10" defaultRowHeight="14" x14ac:dyDescent="0"/>
  <cols>
    <col min="1" max="1" width="33.1640625" customWidth="1"/>
    <col min="2" max="2" width="50.5" customWidth="1"/>
    <col min="3" max="3" width="23.83203125" bestFit="1" customWidth="1"/>
    <col min="4" max="4" width="20.83203125" customWidth="1"/>
    <col min="5" max="5" width="23.83203125" bestFit="1" customWidth="1"/>
    <col min="6" max="6" width="21.1640625" bestFit="1" customWidth="1"/>
    <col min="7" max="7" width="21.1640625" style="25" customWidth="1"/>
    <col min="8" max="8" width="21.1640625" style="25" bestFit="1" customWidth="1"/>
    <col min="9" max="9" width="22.1640625" style="25" bestFit="1" customWidth="1"/>
    <col min="10" max="10" width="21.1640625" style="25" bestFit="1" customWidth="1"/>
    <col min="11" max="11" width="21.1640625" bestFit="1" customWidth="1"/>
    <col min="12" max="12" width="26.1640625" bestFit="1" customWidth="1"/>
    <col min="13" max="14" width="19" bestFit="1" customWidth="1"/>
    <col min="15" max="15" width="17.5" bestFit="1" customWidth="1"/>
    <col min="16" max="18" width="19" bestFit="1" customWidth="1"/>
    <col min="19" max="19" width="17.5" bestFit="1" customWidth="1"/>
    <col min="20" max="20" width="19" bestFit="1" customWidth="1"/>
    <col min="21" max="21" width="17.1640625" bestFit="1" customWidth="1"/>
    <col min="22" max="22" width="18.33203125" bestFit="1" customWidth="1"/>
  </cols>
  <sheetData>
    <row r="1" spans="1:23" ht="29" thickBot="1">
      <c r="A1" s="177" t="s">
        <v>144</v>
      </c>
      <c r="B1" s="595" t="s">
        <v>47</v>
      </c>
      <c r="C1" s="595" t="s">
        <v>15</v>
      </c>
      <c r="D1" s="595" t="s">
        <v>49</v>
      </c>
      <c r="E1" s="595" t="s">
        <v>17</v>
      </c>
      <c r="F1" s="595" t="s">
        <v>89</v>
      </c>
      <c r="G1" s="596" t="s">
        <v>94</v>
      </c>
      <c r="H1" s="38"/>
      <c r="I1" s="38"/>
      <c r="J1" s="22"/>
      <c r="K1" s="8"/>
      <c r="L1" s="8"/>
      <c r="M1" s="8"/>
      <c r="N1" s="8"/>
      <c r="O1" s="8"/>
      <c r="P1" s="25"/>
      <c r="Q1" s="25"/>
      <c r="R1" s="25"/>
      <c r="S1" s="25"/>
      <c r="T1" s="25"/>
    </row>
    <row r="2" spans="1:23" ht="15">
      <c r="A2" s="752" t="s">
        <v>92</v>
      </c>
      <c r="B2" s="597"/>
      <c r="C2" s="595"/>
      <c r="D2" s="595"/>
      <c r="E2" s="595"/>
      <c r="F2" s="598"/>
      <c r="G2" s="596"/>
      <c r="H2" s="38"/>
      <c r="I2" s="38"/>
      <c r="J2" s="22"/>
      <c r="K2" s="8"/>
      <c r="L2" s="8"/>
      <c r="M2" s="8"/>
      <c r="N2" s="8"/>
      <c r="O2" s="8"/>
      <c r="P2" s="25"/>
      <c r="Q2" s="25"/>
      <c r="R2" s="25"/>
      <c r="S2" s="25"/>
      <c r="T2" s="25"/>
    </row>
    <row r="3" spans="1:23" ht="29" thickBot="1">
      <c r="A3" s="758"/>
      <c r="B3" s="599">
        <v>11</v>
      </c>
      <c r="C3" s="600">
        <v>23</v>
      </c>
      <c r="D3" s="600" t="s">
        <v>59</v>
      </c>
      <c r="E3" s="600" t="s">
        <v>60</v>
      </c>
      <c r="F3" s="601" t="s">
        <v>177</v>
      </c>
      <c r="G3" s="602" t="s">
        <v>179</v>
      </c>
      <c r="I3" s="39"/>
      <c r="J3" s="22"/>
      <c r="K3" s="27"/>
      <c r="L3" s="27"/>
      <c r="M3" s="27"/>
      <c r="N3" s="27"/>
      <c r="O3" s="27"/>
      <c r="P3" s="25"/>
      <c r="Q3" s="25"/>
      <c r="R3" s="25"/>
      <c r="S3" s="25"/>
      <c r="T3" s="25"/>
    </row>
    <row r="4" spans="1:23" ht="44" customHeight="1">
      <c r="A4" s="603" t="s">
        <v>155</v>
      </c>
      <c r="B4" s="604">
        <f>'Utilización ByS 2008'!G30</f>
        <v>217208.74100000004</v>
      </c>
      <c r="C4" s="196">
        <f>'Utilización ByS 2008'!J30</f>
        <v>850428.451</v>
      </c>
      <c r="D4" s="196">
        <f>'Utilización ByS 2008'!K30</f>
        <v>4987262.102</v>
      </c>
      <c r="E4" s="196">
        <f>'Utilización ByS 2008'!L30</f>
        <v>496849.891</v>
      </c>
      <c r="F4" s="605">
        <f>SUM('Utilización ByS 2008'!M30:Y30)</f>
        <v>1806697.4789999998</v>
      </c>
      <c r="G4" s="58" t="s">
        <v>87</v>
      </c>
      <c r="H4" s="39"/>
      <c r="I4" s="39"/>
      <c r="J4" s="22"/>
      <c r="K4" s="27"/>
      <c r="L4" s="27"/>
      <c r="M4" s="27"/>
      <c r="N4" s="27"/>
      <c r="O4" s="27"/>
      <c r="P4" s="25"/>
      <c r="Q4" s="25"/>
      <c r="R4" s="25"/>
      <c r="S4" s="25"/>
      <c r="T4" s="25"/>
    </row>
    <row r="5" spans="1:23" ht="62" customHeight="1">
      <c r="A5" s="606" t="s">
        <v>147</v>
      </c>
      <c r="B5" s="604">
        <f>'Utilización ByS 2008'!G38+'Utilización ByS 2008'!G39</f>
        <v>62411.806000000004</v>
      </c>
      <c r="C5" s="196">
        <f>'Utilización ByS 2008'!J38+'Utilización ByS 2008'!J39</f>
        <v>357262.54499999998</v>
      </c>
      <c r="D5" s="196">
        <f>'Utilización ByS 2008'!K38+'Utilización ByS 2008'!K39</f>
        <v>333070.47000000003</v>
      </c>
      <c r="E5" s="196">
        <f>'Utilización ByS 2008'!L38+'Utilización ByS 2008'!L39</f>
        <v>278172.038</v>
      </c>
      <c r="F5" s="605">
        <f>SUM('Utilización ByS 2008'!M38:Y38)+SUM('Utilización ByS 2008'!M39:Y39)</f>
        <v>1665702.034</v>
      </c>
      <c r="G5" s="57" t="s">
        <v>87</v>
      </c>
      <c r="H5" s="40"/>
      <c r="I5" s="40"/>
      <c r="J5" s="22"/>
      <c r="K5" s="28"/>
      <c r="L5" s="28"/>
      <c r="M5" s="28"/>
      <c r="N5" s="28"/>
      <c r="O5" s="28"/>
      <c r="P5" s="25"/>
      <c r="Q5" s="25"/>
      <c r="R5" s="25"/>
      <c r="S5" s="28"/>
      <c r="T5" s="25"/>
    </row>
    <row r="6" spans="1:23" ht="62" customHeight="1">
      <c r="A6" s="606" t="s">
        <v>156</v>
      </c>
      <c r="B6" s="604">
        <f>('Utilización ByS 2008'!G40+'Utilización ByS 2008'!G41+'Utilización ByS 2008'!G42)</f>
        <v>1743.432</v>
      </c>
      <c r="C6" s="196">
        <f>('Utilización ByS 2008'!J40+'Utilización ByS 2008'!J41+'Utilización ByS 2008'!J42)</f>
        <v>112715.50099999999</v>
      </c>
      <c r="D6" s="196">
        <f>('Utilización ByS 2008'!K40+'Utilización ByS 2008'!K41+'Utilización ByS 2008'!K42)</f>
        <v>122849.599</v>
      </c>
      <c r="E6" s="196">
        <f>('Utilización ByS 2008'!L40+'Utilización ByS 2008'!L41+'Utilización ByS 2008'!L42)</f>
        <v>53536.307000000001</v>
      </c>
      <c r="F6" s="605">
        <f>SUM('Utilización ByS 2008'!M40:Y40)+SUM('Utilización ByS 2008'!M41:Y41)+SUM('Utilización ByS 2008'!M42:Y42)</f>
        <v>382839.32500000007</v>
      </c>
      <c r="G6" s="57" t="s">
        <v>87</v>
      </c>
      <c r="H6" s="40"/>
      <c r="I6" s="40"/>
      <c r="J6" s="22"/>
      <c r="K6" s="28"/>
      <c r="L6" s="28"/>
      <c r="M6" s="28"/>
      <c r="N6" s="28"/>
      <c r="O6" s="28"/>
      <c r="P6" s="25"/>
      <c r="Q6" s="25"/>
      <c r="R6" s="25"/>
      <c r="S6" s="28"/>
      <c r="T6" s="25"/>
    </row>
    <row r="7" spans="1:23" ht="15">
      <c r="A7" s="606" t="s">
        <v>61</v>
      </c>
      <c r="B7" s="607">
        <f>'Utilización ByS 2008'!G45</f>
        <v>328828.745</v>
      </c>
      <c r="C7" s="608">
        <f>'Utilización ByS 2008'!J45</f>
        <v>560731.48699999996</v>
      </c>
      <c r="D7" s="608">
        <f>'Utilización ByS 2008'!K45</f>
        <v>1571334.7870000005</v>
      </c>
      <c r="E7" s="608">
        <f>'Utilización ByS 2008'!L45</f>
        <v>1454232.1510000001</v>
      </c>
      <c r="F7" s="609">
        <f>SUM('Utilización ByS 2008'!M45:Y45)</f>
        <v>3348526.5420000004</v>
      </c>
      <c r="G7" s="57" t="s">
        <v>87</v>
      </c>
      <c r="H7" s="23"/>
      <c r="I7" s="23"/>
      <c r="J7" s="22"/>
      <c r="K7" s="23"/>
      <c r="L7" s="23"/>
      <c r="M7" s="23"/>
      <c r="N7" s="23"/>
      <c r="O7" s="23"/>
      <c r="P7" s="25"/>
      <c r="Q7" s="25"/>
      <c r="R7" s="25"/>
      <c r="S7" s="25"/>
      <c r="T7" s="25"/>
    </row>
    <row r="8" spans="1:23" ht="29" thickBot="1">
      <c r="A8" s="610" t="s">
        <v>180</v>
      </c>
      <c r="B8" s="611">
        <f>'Utilización ByS 2008'!G46</f>
        <v>610192.72400000005</v>
      </c>
      <c r="C8" s="612">
        <f>'Utilización ByS 2008'!J46</f>
        <v>1881137.9839999999</v>
      </c>
      <c r="D8" s="612">
        <f>'Utilización ByS 2008'!K46</f>
        <v>7014516.9580000006</v>
      </c>
      <c r="E8" s="612">
        <f>'Utilización ByS 2008'!L46</f>
        <v>2282790.3870000001</v>
      </c>
      <c r="F8" s="613">
        <f>SUM('Utilización ByS 2008'!M46:Y46)</f>
        <v>7203765.3799999999</v>
      </c>
      <c r="G8" s="59" t="s">
        <v>87</v>
      </c>
      <c r="H8" s="24"/>
      <c r="I8" s="24"/>
      <c r="J8" s="22"/>
      <c r="K8" s="24"/>
      <c r="L8" s="24"/>
      <c r="M8" s="24"/>
      <c r="N8" s="24"/>
      <c r="O8" s="24"/>
      <c r="P8" s="25"/>
      <c r="Q8" s="25"/>
      <c r="R8" s="25"/>
      <c r="S8" s="25"/>
      <c r="T8" s="25"/>
    </row>
    <row r="9" spans="1:23" ht="15">
      <c r="A9" s="397" t="s">
        <v>96</v>
      </c>
      <c r="B9" s="614"/>
      <c r="C9" s="615"/>
      <c r="D9" s="615"/>
      <c r="E9" s="615"/>
      <c r="F9" s="615"/>
      <c r="G9" s="616"/>
      <c r="H9" s="24"/>
      <c r="I9" s="24"/>
      <c r="J9" s="24"/>
      <c r="K9" s="30"/>
      <c r="L9" s="29"/>
      <c r="M9" s="22"/>
      <c r="N9" s="24"/>
      <c r="O9" s="24"/>
      <c r="P9" s="24"/>
      <c r="Q9" s="24"/>
      <c r="R9" s="24"/>
      <c r="S9" s="25"/>
      <c r="T9" s="25"/>
      <c r="U9" s="25"/>
      <c r="V9" s="25"/>
      <c r="W9" s="25"/>
    </row>
    <row r="10" spans="1:23" ht="24">
      <c r="A10" s="617" t="s">
        <v>178</v>
      </c>
      <c r="B10" s="614"/>
      <c r="C10" s="615"/>
      <c r="D10" s="615"/>
      <c r="E10" s="615"/>
      <c r="F10" s="615"/>
      <c r="G10" s="616"/>
      <c r="H10" s="24"/>
      <c r="I10" s="24"/>
      <c r="J10" s="24"/>
      <c r="K10" s="30"/>
      <c r="L10" s="29"/>
      <c r="M10" s="22"/>
      <c r="N10" s="24"/>
      <c r="O10" s="24"/>
      <c r="P10" s="24"/>
      <c r="Q10" s="24"/>
      <c r="R10" s="24"/>
      <c r="S10" s="25"/>
      <c r="T10" s="25"/>
      <c r="U10" s="25"/>
      <c r="V10" s="25"/>
      <c r="W10" s="25"/>
    </row>
    <row r="11" spans="1:23" ht="16" thickBot="1">
      <c r="A11" s="617"/>
      <c r="B11" s="614"/>
      <c r="C11" s="615"/>
      <c r="D11" s="615"/>
      <c r="E11" s="615"/>
      <c r="F11" s="615"/>
      <c r="G11" s="616"/>
      <c r="H11" s="24"/>
      <c r="I11" s="24"/>
      <c r="J11" s="24"/>
      <c r="K11" s="30"/>
      <c r="L11" s="29"/>
      <c r="M11" s="22"/>
      <c r="N11" s="24"/>
      <c r="O11" s="24"/>
      <c r="P11" s="24"/>
      <c r="Q11" s="24"/>
      <c r="R11" s="24"/>
      <c r="S11" s="25"/>
      <c r="T11" s="25"/>
      <c r="U11" s="25"/>
      <c r="V11" s="25"/>
      <c r="W11" s="25"/>
    </row>
    <row r="12" spans="1:23" ht="29" thickBot="1">
      <c r="A12" s="173"/>
      <c r="B12" s="177" t="s">
        <v>229</v>
      </c>
      <c r="C12" s="177" t="s">
        <v>230</v>
      </c>
      <c r="D12" s="177" t="s">
        <v>231</v>
      </c>
      <c r="E12" s="177" t="s">
        <v>232</v>
      </c>
      <c r="F12" s="177" t="s">
        <v>233</v>
      </c>
      <c r="G12" s="618"/>
      <c r="H12" s="22"/>
      <c r="I12" s="22"/>
      <c r="J12" s="22"/>
      <c r="K12" s="21"/>
      <c r="L12" s="31"/>
      <c r="M12" s="22"/>
      <c r="N12" s="25"/>
      <c r="O12" s="25"/>
      <c r="P12" s="25"/>
      <c r="Q12" s="25"/>
      <c r="R12" s="25"/>
      <c r="S12" s="25"/>
      <c r="T12" s="25"/>
      <c r="U12" s="25"/>
      <c r="V12" s="25"/>
      <c r="W12" s="25"/>
    </row>
    <row r="13" spans="1:23" ht="16" thickBot="1">
      <c r="A13" s="619"/>
      <c r="B13" s="620">
        <f>E19</f>
        <v>1.2900515795321867</v>
      </c>
      <c r="C13" s="620">
        <f>E20</f>
        <v>1.1319440061878228</v>
      </c>
      <c r="D13" s="620">
        <f>E21</f>
        <v>1.3388093484976218</v>
      </c>
      <c r="E13" s="620">
        <f>E22</f>
        <v>1.3921966569260209</v>
      </c>
      <c r="F13" s="620">
        <f>E23</f>
        <v>1.3116369419736533</v>
      </c>
      <c r="G13" s="621"/>
      <c r="H13" s="22"/>
      <c r="I13" s="22"/>
      <c r="J13" s="22"/>
      <c r="K13" s="21"/>
      <c r="L13" s="31"/>
      <c r="M13" s="22"/>
      <c r="N13" s="25"/>
      <c r="O13" s="25"/>
      <c r="P13" s="25"/>
      <c r="Q13" s="25"/>
      <c r="R13" s="25"/>
      <c r="S13" s="25"/>
      <c r="T13" s="25"/>
      <c r="U13" s="25"/>
      <c r="V13" s="25"/>
      <c r="W13" s="25"/>
    </row>
    <row r="14" spans="1:23" ht="15">
      <c r="A14" s="397" t="s">
        <v>234</v>
      </c>
      <c r="B14" s="621"/>
      <c r="C14" s="622"/>
      <c r="D14" s="622"/>
      <c r="E14" s="622"/>
      <c r="F14" s="622"/>
      <c r="G14" s="621"/>
      <c r="H14" s="22"/>
      <c r="I14" s="22"/>
      <c r="J14" s="22"/>
      <c r="K14" s="21"/>
      <c r="L14" s="31"/>
      <c r="M14" s="22"/>
      <c r="N14" s="25"/>
      <c r="O14" s="25"/>
      <c r="P14" s="25"/>
      <c r="Q14" s="25"/>
      <c r="R14" s="25"/>
      <c r="S14" s="25"/>
      <c r="T14" s="25"/>
      <c r="U14" s="25"/>
      <c r="V14" s="25"/>
      <c r="W14" s="25"/>
    </row>
    <row r="15" spans="1:23" ht="15">
      <c r="A15" s="623"/>
      <c r="B15" s="621"/>
      <c r="C15" s="622"/>
      <c r="D15" s="622"/>
      <c r="E15" s="622"/>
      <c r="F15" s="622"/>
      <c r="G15" s="621"/>
      <c r="H15" s="22"/>
      <c r="I15" s="22"/>
      <c r="J15" s="22"/>
      <c r="K15" s="21"/>
      <c r="L15" s="31"/>
      <c r="M15" s="22"/>
      <c r="N15" s="25"/>
      <c r="O15" s="25"/>
      <c r="P15" s="25"/>
      <c r="Q15" s="25"/>
      <c r="R15" s="25"/>
      <c r="S15" s="25"/>
      <c r="T15" s="25"/>
      <c r="U15" s="25"/>
      <c r="V15" s="25"/>
      <c r="W15" s="25"/>
    </row>
    <row r="16" spans="1:23" ht="15.5" customHeight="1">
      <c r="A16" s="624"/>
      <c r="B16" s="624"/>
      <c r="C16" s="624"/>
      <c r="D16" s="624"/>
      <c r="E16" s="624"/>
      <c r="F16" s="624"/>
      <c r="G16" s="621"/>
      <c r="H16" s="22"/>
      <c r="I16" s="22"/>
      <c r="J16" s="22"/>
      <c r="K16" s="25"/>
      <c r="L16" s="25"/>
      <c r="M16" s="25"/>
      <c r="N16" s="25"/>
      <c r="O16" s="25"/>
      <c r="P16" s="25"/>
      <c r="Q16" s="25"/>
      <c r="R16" s="25"/>
      <c r="S16" s="25"/>
      <c r="T16" s="25"/>
    </row>
    <row r="17" spans="1:14" ht="16" thickBot="1">
      <c r="A17" s="625" t="s">
        <v>237</v>
      </c>
      <c r="B17" s="626"/>
      <c r="C17" s="627"/>
      <c r="D17" s="628"/>
      <c r="E17" s="628"/>
      <c r="F17" s="628"/>
      <c r="G17" s="628"/>
      <c r="K17" s="25"/>
    </row>
    <row r="18" spans="1:14" ht="15" thickBot="1">
      <c r="A18" s="177" t="s">
        <v>192</v>
      </c>
      <c r="B18" s="598" t="s">
        <v>193</v>
      </c>
      <c r="C18" s="177" t="s">
        <v>194</v>
      </c>
      <c r="D18" s="595" t="s">
        <v>195</v>
      </c>
      <c r="E18" s="596" t="s">
        <v>196</v>
      </c>
      <c r="F18" s="628"/>
      <c r="G18" s="628"/>
      <c r="K18" s="25"/>
    </row>
    <row r="19" spans="1:14">
      <c r="A19" s="629" t="s">
        <v>197</v>
      </c>
      <c r="B19" s="630" t="s">
        <v>198</v>
      </c>
      <c r="C19" s="294">
        <v>392983.98300000001</v>
      </c>
      <c r="D19" s="294">
        <v>506969.60800000001</v>
      </c>
      <c r="E19" s="631">
        <f>D19/C19</f>
        <v>1.2900515795321867</v>
      </c>
      <c r="F19" s="628"/>
      <c r="G19" s="628"/>
      <c r="K19" s="25"/>
    </row>
    <row r="20" spans="1:14">
      <c r="A20" s="632" t="s">
        <v>199</v>
      </c>
      <c r="B20" s="633" t="s">
        <v>200</v>
      </c>
      <c r="C20" s="274">
        <v>1030709.5330000001</v>
      </c>
      <c r="D20" s="274">
        <v>1166705.4779999999</v>
      </c>
      <c r="E20" s="634">
        <f t="shared" ref="E20:E36" si="0">D20/C20</f>
        <v>1.1319440061878228</v>
      </c>
      <c r="F20" s="281"/>
      <c r="G20" s="628"/>
      <c r="J20" s="26"/>
      <c r="K20" s="25"/>
    </row>
    <row r="21" spans="1:14">
      <c r="A21" s="629" t="s">
        <v>59</v>
      </c>
      <c r="B21" s="630" t="s">
        <v>201</v>
      </c>
      <c r="C21" s="294">
        <v>2027254.8559999999</v>
      </c>
      <c r="D21" s="294">
        <v>2714107.753</v>
      </c>
      <c r="E21" s="634">
        <f t="shared" si="0"/>
        <v>1.3388093484976218</v>
      </c>
      <c r="F21" s="281"/>
      <c r="G21" s="628"/>
      <c r="K21" s="25"/>
    </row>
    <row r="22" spans="1:14">
      <c r="A22" s="632" t="s">
        <v>60</v>
      </c>
      <c r="B22" s="633" t="s">
        <v>202</v>
      </c>
      <c r="C22" s="274">
        <v>1785940.496</v>
      </c>
      <c r="D22" s="274">
        <v>2486380.3879999998</v>
      </c>
      <c r="E22" s="634">
        <f>D22/C22</f>
        <v>1.3921966569260209</v>
      </c>
      <c r="F22" s="281"/>
      <c r="G22" s="628"/>
      <c r="K22" s="25"/>
    </row>
    <row r="23" spans="1:14" ht="15" thickBot="1">
      <c r="A23" s="635" t="s">
        <v>177</v>
      </c>
      <c r="B23" s="636" t="s">
        <v>89</v>
      </c>
      <c r="C23" s="637">
        <v>15275075.557000013</v>
      </c>
      <c r="D23" s="637">
        <v>20035353.391999997</v>
      </c>
      <c r="E23" s="638">
        <f>D23/C23</f>
        <v>1.3116369419736533</v>
      </c>
      <c r="F23" s="628"/>
      <c r="G23" s="628"/>
      <c r="K23" s="25"/>
      <c r="L23" s="25"/>
      <c r="M23" s="25"/>
      <c r="N23" s="25"/>
    </row>
    <row r="24" spans="1:14" hidden="1">
      <c r="A24" s="629" t="s">
        <v>72</v>
      </c>
      <c r="B24" s="630" t="s">
        <v>203</v>
      </c>
      <c r="C24" s="226">
        <v>700557.06599999999</v>
      </c>
      <c r="D24" s="226">
        <v>777499.89199999999</v>
      </c>
      <c r="E24" s="634">
        <f t="shared" si="0"/>
        <v>1.1098309184708159</v>
      </c>
      <c r="F24" s="628"/>
      <c r="G24" s="628"/>
      <c r="K24" s="25"/>
      <c r="L24" s="25"/>
      <c r="M24" s="25"/>
      <c r="N24" s="25"/>
    </row>
    <row r="25" spans="1:14" hidden="1">
      <c r="A25" s="632" t="s">
        <v>204</v>
      </c>
      <c r="B25" s="633" t="s">
        <v>205</v>
      </c>
      <c r="C25" s="281">
        <v>324483.76799999998</v>
      </c>
      <c r="D25" s="281">
        <v>453141.538</v>
      </c>
      <c r="E25" s="634">
        <f t="shared" si="0"/>
        <v>1.3964998643630151</v>
      </c>
      <c r="F25" s="354"/>
      <c r="G25" s="354"/>
      <c r="H25"/>
      <c r="I25"/>
      <c r="J25"/>
    </row>
    <row r="26" spans="1:14" hidden="1">
      <c r="A26" s="629" t="s">
        <v>206</v>
      </c>
      <c r="B26" s="630" t="s">
        <v>207</v>
      </c>
      <c r="C26" s="226">
        <v>390549.67200000002</v>
      </c>
      <c r="D26" s="226">
        <v>618605.90899999999</v>
      </c>
      <c r="E26" s="634">
        <f t="shared" si="0"/>
        <v>1.5839365728618509</v>
      </c>
      <c r="F26" s="354"/>
      <c r="G26" s="354"/>
      <c r="H26"/>
      <c r="I26"/>
      <c r="J26"/>
    </row>
    <row r="27" spans="1:14" hidden="1">
      <c r="A27" s="632" t="s">
        <v>208</v>
      </c>
      <c r="B27" s="633" t="s">
        <v>209</v>
      </c>
      <c r="C27" s="281">
        <v>1448376.219</v>
      </c>
      <c r="D27" s="281">
        <v>1603058.9879999999</v>
      </c>
      <c r="E27" s="634">
        <f t="shared" si="0"/>
        <v>1.106797368646937</v>
      </c>
      <c r="F27" s="354"/>
      <c r="G27" s="354"/>
      <c r="H27"/>
      <c r="I27"/>
      <c r="J27"/>
    </row>
    <row r="28" spans="1:14" hidden="1">
      <c r="A28" s="629" t="s">
        <v>210</v>
      </c>
      <c r="B28" s="630" t="s">
        <v>211</v>
      </c>
      <c r="C28" s="226">
        <v>288855.071</v>
      </c>
      <c r="D28" s="226">
        <v>294811.755</v>
      </c>
      <c r="E28" s="634">
        <f t="shared" si="0"/>
        <v>1.0206217047856501</v>
      </c>
      <c r="F28" s="354"/>
      <c r="G28" s="354"/>
      <c r="H28"/>
      <c r="I28"/>
      <c r="J28"/>
    </row>
    <row r="29" spans="1:14" hidden="1">
      <c r="A29" s="632" t="s">
        <v>212</v>
      </c>
      <c r="B29" s="633" t="s">
        <v>213</v>
      </c>
      <c r="C29" s="281">
        <v>74350.48</v>
      </c>
      <c r="D29" s="281">
        <v>79379.410999999993</v>
      </c>
      <c r="E29" s="634">
        <f t="shared" si="0"/>
        <v>1.067638177991588</v>
      </c>
      <c r="F29" s="354"/>
      <c r="G29" s="354"/>
      <c r="H29"/>
      <c r="I29"/>
      <c r="J29"/>
    </row>
    <row r="30" spans="1:14" hidden="1">
      <c r="A30" s="629" t="s">
        <v>214</v>
      </c>
      <c r="B30" s="630" t="s">
        <v>215</v>
      </c>
      <c r="C30" s="226">
        <v>398773.36700000003</v>
      </c>
      <c r="D30" s="226">
        <v>430688.63199999998</v>
      </c>
      <c r="E30" s="634">
        <f t="shared" si="0"/>
        <v>1.0800335921129858</v>
      </c>
      <c r="F30" s="354"/>
      <c r="G30" s="354"/>
      <c r="H30"/>
      <c r="I30"/>
      <c r="J30"/>
    </row>
    <row r="31" spans="1:14" hidden="1">
      <c r="A31" s="632" t="s">
        <v>216</v>
      </c>
      <c r="B31" s="633" t="s">
        <v>217</v>
      </c>
      <c r="C31" s="281">
        <v>472158.81900000002</v>
      </c>
      <c r="D31" s="281">
        <v>495852.68800000002</v>
      </c>
      <c r="E31" s="634">
        <f t="shared" si="0"/>
        <v>1.0501819897173201</v>
      </c>
      <c r="F31" s="354"/>
      <c r="G31" s="354"/>
      <c r="H31"/>
      <c r="I31"/>
      <c r="J31"/>
    </row>
    <row r="32" spans="1:14" hidden="1">
      <c r="A32" s="629" t="s">
        <v>218</v>
      </c>
      <c r="B32" s="630" t="s">
        <v>219</v>
      </c>
      <c r="C32" s="226">
        <v>250108.58199999999</v>
      </c>
      <c r="D32" s="226">
        <v>272542.57500000001</v>
      </c>
      <c r="E32" s="634">
        <f t="shared" si="0"/>
        <v>1.0896970140752709</v>
      </c>
      <c r="F32" s="354"/>
      <c r="G32" s="354"/>
      <c r="H32"/>
      <c r="I32"/>
      <c r="J32"/>
    </row>
    <row r="33" spans="1:10" hidden="1">
      <c r="A33" s="632" t="s">
        <v>220</v>
      </c>
      <c r="B33" s="633" t="s">
        <v>221</v>
      </c>
      <c r="C33" s="281">
        <v>57353.091</v>
      </c>
      <c r="D33" s="281">
        <v>60563.428999999996</v>
      </c>
      <c r="E33" s="634">
        <f t="shared" si="0"/>
        <v>1.0559749778786987</v>
      </c>
      <c r="F33" s="354"/>
      <c r="G33" s="354"/>
      <c r="H33"/>
      <c r="I33"/>
      <c r="J33"/>
    </row>
    <row r="34" spans="1:10" hidden="1">
      <c r="A34" s="629" t="s">
        <v>222</v>
      </c>
      <c r="B34" s="630" t="s">
        <v>223</v>
      </c>
      <c r="C34" s="226">
        <v>277822.48200000002</v>
      </c>
      <c r="D34" s="226">
        <v>278956.33399999997</v>
      </c>
      <c r="E34" s="634">
        <f t="shared" si="0"/>
        <v>1.0040812103895895</v>
      </c>
      <c r="F34" s="354"/>
      <c r="G34" s="354"/>
      <c r="H34"/>
      <c r="I34"/>
      <c r="J34"/>
    </row>
    <row r="35" spans="1:10" hidden="1">
      <c r="A35" s="632" t="s">
        <v>224</v>
      </c>
      <c r="B35" s="633" t="s">
        <v>225</v>
      </c>
      <c r="C35" s="281">
        <v>255615.21100000001</v>
      </c>
      <c r="D35" s="281">
        <v>274888.95299999998</v>
      </c>
      <c r="E35" s="634">
        <f t="shared" si="0"/>
        <v>1.0754013891606786</v>
      </c>
      <c r="F35" s="354"/>
      <c r="G35" s="354"/>
      <c r="H35"/>
      <c r="I35"/>
      <c r="J35"/>
    </row>
    <row r="36" spans="1:10" hidden="1">
      <c r="A36" s="629" t="s">
        <v>226</v>
      </c>
      <c r="B36" s="630" t="s">
        <v>227</v>
      </c>
      <c r="C36" s="226">
        <v>458064.07299999997</v>
      </c>
      <c r="D36" s="226">
        <v>488828.44099999999</v>
      </c>
      <c r="E36" s="634">
        <f t="shared" si="0"/>
        <v>1.0671617134225675</v>
      </c>
      <c r="F36" s="354"/>
      <c r="G36" s="354"/>
      <c r="H36"/>
      <c r="I36"/>
      <c r="J36"/>
    </row>
    <row r="37" spans="1:10" ht="15" hidden="1" thickBot="1">
      <c r="A37" s="635"/>
      <c r="B37" s="639"/>
      <c r="C37" s="640"/>
      <c r="D37" s="640"/>
      <c r="E37" s="638"/>
      <c r="F37" s="354"/>
      <c r="G37" s="354"/>
      <c r="H37"/>
      <c r="I37"/>
      <c r="J37"/>
    </row>
    <row r="38" spans="1:10">
      <c r="A38" s="397" t="s">
        <v>228</v>
      </c>
      <c r="B38" s="354"/>
      <c r="C38" s="354"/>
      <c r="D38" s="354"/>
      <c r="E38" s="354"/>
      <c r="F38" s="354"/>
      <c r="G38" s="354"/>
      <c r="H38"/>
      <c r="I38"/>
      <c r="J38"/>
    </row>
    <row r="39" spans="1:10">
      <c r="A39" s="354"/>
      <c r="B39" s="354"/>
      <c r="C39" s="354"/>
      <c r="D39" s="354"/>
      <c r="E39" s="354"/>
      <c r="F39" s="354"/>
      <c r="G39" s="354"/>
      <c r="H39"/>
      <c r="I39"/>
      <c r="J39"/>
    </row>
    <row r="40" spans="1:10" ht="15" thickBot="1">
      <c r="A40" s="628"/>
      <c r="B40" s="628"/>
      <c r="C40" s="628"/>
      <c r="D40" s="628"/>
      <c r="E40" s="628"/>
      <c r="F40" s="628"/>
      <c r="G40" s="628"/>
      <c r="J40"/>
    </row>
    <row r="41" spans="1:10" ht="29" thickBot="1">
      <c r="A41" s="177" t="s">
        <v>190</v>
      </c>
      <c r="B41" s="595" t="s">
        <v>47</v>
      </c>
      <c r="C41" s="595" t="s">
        <v>15</v>
      </c>
      <c r="D41" s="595" t="s">
        <v>49</v>
      </c>
      <c r="E41" s="595" t="s">
        <v>17</v>
      </c>
      <c r="F41" s="595" t="s">
        <v>89</v>
      </c>
      <c r="G41" s="596" t="s">
        <v>94</v>
      </c>
      <c r="J41"/>
    </row>
    <row r="42" spans="1:10">
      <c r="A42" s="752" t="s">
        <v>92</v>
      </c>
      <c r="B42" s="595"/>
      <c r="C42" s="595"/>
      <c r="D42" s="595"/>
      <c r="E42" s="595"/>
      <c r="F42" s="595"/>
      <c r="G42" s="596"/>
    </row>
    <row r="43" spans="1:10" ht="29" thickBot="1">
      <c r="A43" s="758"/>
      <c r="B43" s="600">
        <v>11</v>
      </c>
      <c r="C43" s="600">
        <v>23</v>
      </c>
      <c r="D43" s="600" t="s">
        <v>59</v>
      </c>
      <c r="E43" s="600" t="s">
        <v>60</v>
      </c>
      <c r="F43" s="600" t="s">
        <v>177</v>
      </c>
      <c r="G43" s="602" t="s">
        <v>179</v>
      </c>
    </row>
    <row r="44" spans="1:10">
      <c r="A44" s="603" t="s">
        <v>155</v>
      </c>
      <c r="B44" s="641">
        <f t="shared" ref="B44:F48" si="1">B4*B$13</f>
        <v>280210.47941524768</v>
      </c>
      <c r="C44" s="641">
        <f t="shared" si="1"/>
        <v>962637.3878010445</v>
      </c>
      <c r="D44" s="641">
        <f t="shared" si="1"/>
        <v>6676993.1255655</v>
      </c>
      <c r="E44" s="641">
        <f t="shared" si="1"/>
        <v>691712.75724425784</v>
      </c>
      <c r="F44" s="641">
        <f t="shared" si="1"/>
        <v>2369731.1564270686</v>
      </c>
      <c r="G44" s="58" t="s">
        <v>87</v>
      </c>
    </row>
    <row r="45" spans="1:10">
      <c r="A45" s="606" t="s">
        <v>150</v>
      </c>
      <c r="B45" s="281">
        <f t="shared" si="1"/>
        <v>80514.448911756408</v>
      </c>
      <c r="C45" s="281">
        <f t="shared" si="1"/>
        <v>404401.19644815731</v>
      </c>
      <c r="D45" s="281">
        <f t="shared" si="1"/>
        <v>445917.85894449672</v>
      </c>
      <c r="E45" s="281">
        <f t="shared" si="1"/>
        <v>387270.18135389808</v>
      </c>
      <c r="F45" s="281">
        <f t="shared" si="1"/>
        <v>2184796.3221150544</v>
      </c>
      <c r="G45" s="57" t="s">
        <v>87</v>
      </c>
    </row>
    <row r="46" spans="1:10">
      <c r="A46" s="606" t="s">
        <v>156</v>
      </c>
      <c r="B46" s="226">
        <f t="shared" si="1"/>
        <v>2249.1172054069593</v>
      </c>
      <c r="C46" s="226">
        <f t="shared" si="1"/>
        <v>127587.63576140752</v>
      </c>
      <c r="D46" s="226">
        <f t="shared" si="1"/>
        <v>164472.1916003841</v>
      </c>
      <c r="E46" s="226">
        <f t="shared" si="1"/>
        <v>74533.067629565136</v>
      </c>
      <c r="F46" s="226">
        <f t="shared" si="1"/>
        <v>502146.20151025767</v>
      </c>
      <c r="G46" s="57" t="s">
        <v>87</v>
      </c>
    </row>
    <row r="47" spans="1:10">
      <c r="A47" s="606" t="s">
        <v>61</v>
      </c>
      <c r="B47" s="281">
        <f t="shared" si="1"/>
        <v>424206.04188283667</v>
      </c>
      <c r="C47" s="281">
        <f t="shared" si="1"/>
        <v>634716.64579043502</v>
      </c>
      <c r="D47" s="281">
        <f t="shared" si="1"/>
        <v>2103717.7024551202</v>
      </c>
      <c r="E47" s="281">
        <f t="shared" si="1"/>
        <v>2024577.1390165365</v>
      </c>
      <c r="F47" s="281">
        <f t="shared" si="1"/>
        <v>4392051.1136664925</v>
      </c>
      <c r="G47" s="57" t="s">
        <v>87</v>
      </c>
    </row>
    <row r="48" spans="1:10" ht="29" thickBot="1">
      <c r="A48" s="610" t="s">
        <v>191</v>
      </c>
      <c r="B48" s="640">
        <f t="shared" si="1"/>
        <v>787180.08741524769</v>
      </c>
      <c r="C48" s="640">
        <f t="shared" si="1"/>
        <v>2129342.8658010443</v>
      </c>
      <c r="D48" s="640">
        <f t="shared" si="1"/>
        <v>9391100.8785655014</v>
      </c>
      <c r="E48" s="640">
        <f t="shared" si="1"/>
        <v>3178093.1452442575</v>
      </c>
      <c r="F48" s="640">
        <f t="shared" si="1"/>
        <v>9448724.7937188726</v>
      </c>
      <c r="G48" s="59" t="s">
        <v>87</v>
      </c>
    </row>
    <row r="49" spans="1:7" ht="15">
      <c r="A49" s="397" t="s">
        <v>146</v>
      </c>
      <c r="B49" s="624"/>
      <c r="C49" s="624"/>
      <c r="D49" s="624"/>
      <c r="E49" s="624"/>
      <c r="F49" s="624"/>
      <c r="G49" s="621"/>
    </row>
    <row r="50" spans="1:7">
      <c r="A50" s="25"/>
      <c r="B50" s="25"/>
      <c r="C50" s="25"/>
      <c r="D50" s="25"/>
      <c r="E50" s="25"/>
      <c r="F50" s="25"/>
    </row>
    <row r="51" spans="1:7">
      <c r="A51" s="25"/>
      <c r="B51" s="25"/>
      <c r="C51" s="25"/>
      <c r="D51" s="25"/>
      <c r="E51" s="25"/>
      <c r="F51" s="25"/>
    </row>
    <row r="52" spans="1:7">
      <c r="A52" s="25"/>
      <c r="B52" s="25"/>
      <c r="C52" s="25"/>
      <c r="D52" s="25"/>
      <c r="E52" s="25"/>
      <c r="F52" s="25"/>
    </row>
    <row r="53" spans="1:7">
      <c r="A53" s="25"/>
      <c r="B53" s="25"/>
      <c r="C53" s="25"/>
      <c r="D53" s="25"/>
      <c r="E53" s="25"/>
      <c r="F53" s="25"/>
    </row>
    <row r="54" spans="1:7">
      <c r="A54" s="25"/>
      <c r="B54" s="25"/>
      <c r="C54" s="25"/>
      <c r="D54" s="25"/>
      <c r="E54" s="25"/>
      <c r="F54" s="25"/>
    </row>
  </sheetData>
  <sheetProtection password="CD86" sheet="1" objects="1" scenarios="1"/>
  <mergeCells count="2">
    <mergeCell ref="A2:A3"/>
    <mergeCell ref="A42:A43"/>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A1:IV55"/>
  <sheetViews>
    <sheetView showGridLines="0" zoomScale="90" zoomScaleNormal="90" zoomScalePageLayoutView="90" workbookViewId="0"/>
  </sheetViews>
  <sheetFormatPr baseColWidth="10" defaultRowHeight="14" x14ac:dyDescent="0"/>
  <cols>
    <col min="1" max="1" width="46.33203125" customWidth="1"/>
    <col min="2" max="2" width="29.1640625" bestFit="1" customWidth="1"/>
    <col min="3" max="3" width="23.83203125" bestFit="1" customWidth="1"/>
    <col min="4" max="4" width="20.83203125" customWidth="1"/>
    <col min="5" max="5" width="23.83203125" bestFit="1" customWidth="1"/>
    <col min="6" max="6" width="21.1640625" bestFit="1" customWidth="1"/>
    <col min="7" max="7" width="22.1640625" bestFit="1" customWidth="1"/>
    <col min="8" max="8" width="33.6640625" customWidth="1"/>
    <col min="9" max="9" width="26.1640625" bestFit="1" customWidth="1"/>
    <col min="10" max="10" width="19" bestFit="1" customWidth="1"/>
    <col min="11" max="11" width="34.5" bestFit="1" customWidth="1"/>
    <col min="12" max="12" width="17.5" bestFit="1" customWidth="1"/>
    <col min="13" max="15" width="19" bestFit="1" customWidth="1"/>
    <col min="16" max="16" width="17.5" bestFit="1" customWidth="1"/>
    <col min="17" max="17" width="19" bestFit="1" customWidth="1"/>
    <col min="18" max="18" width="17.1640625" bestFit="1" customWidth="1"/>
    <col min="19" max="19" width="18.33203125" bestFit="1" customWidth="1"/>
  </cols>
  <sheetData>
    <row r="1" spans="1:256" ht="15">
      <c r="A1" s="339"/>
      <c r="B1" s="642"/>
      <c r="C1" s="642"/>
      <c r="D1" s="642"/>
      <c r="E1" s="642"/>
      <c r="F1" s="642"/>
      <c r="G1" s="642"/>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row>
    <row r="2" spans="1:256" ht="15">
      <c r="A2" s="339"/>
      <c r="B2" s="642"/>
      <c r="C2" s="642"/>
      <c r="D2" s="642"/>
      <c r="E2" s="642"/>
      <c r="F2" s="642"/>
      <c r="G2" s="642"/>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ht="16" thickBot="1">
      <c r="A3" s="339" t="s">
        <v>256</v>
      </c>
      <c r="B3" s="642"/>
      <c r="C3" s="642"/>
      <c r="D3" s="642"/>
      <c r="E3" s="642"/>
      <c r="F3" s="642"/>
      <c r="G3" s="642"/>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ht="43" thickBot="1">
      <c r="A4" s="643" t="s">
        <v>174</v>
      </c>
      <c r="B4" s="597" t="s">
        <v>47</v>
      </c>
      <c r="C4" s="595" t="s">
        <v>15</v>
      </c>
      <c r="D4" s="595" t="s">
        <v>49</v>
      </c>
      <c r="E4" s="595" t="s">
        <v>17</v>
      </c>
      <c r="F4" s="598" t="s">
        <v>89</v>
      </c>
      <c r="G4" s="644" t="s">
        <v>94</v>
      </c>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ht="29" thickBot="1">
      <c r="A5" s="645" t="s">
        <v>92</v>
      </c>
      <c r="B5" s="646">
        <v>11</v>
      </c>
      <c r="C5" s="646">
        <v>23</v>
      </c>
      <c r="D5" s="646" t="s">
        <v>59</v>
      </c>
      <c r="E5" s="646" t="s">
        <v>60</v>
      </c>
      <c r="F5" s="646" t="s">
        <v>177</v>
      </c>
      <c r="G5" s="647" t="s">
        <v>179</v>
      </c>
      <c r="N5" s="25"/>
      <c r="O5" s="25"/>
      <c r="P5" s="25"/>
      <c r="Q5" s="25"/>
    </row>
    <row r="6" spans="1:256">
      <c r="A6" s="606" t="s">
        <v>155</v>
      </c>
      <c r="B6" s="648">
        <f>'Valores en precios 2014'!B44</f>
        <v>280210.47941524768</v>
      </c>
      <c r="C6" s="274">
        <f>'Valores en precios 2014'!C44</f>
        <v>962637.3878010445</v>
      </c>
      <c r="D6" s="274">
        <f>'Valores en precios 2014'!D44</f>
        <v>6676993.1255655</v>
      </c>
      <c r="E6" s="274">
        <f>'Valores en precios 2014'!E44</f>
        <v>691712.75724425784</v>
      </c>
      <c r="F6" s="649">
        <f>'Valores en precios 2014'!F44</f>
        <v>2369731.1564270686</v>
      </c>
      <c r="G6" s="57" t="s">
        <v>87</v>
      </c>
      <c r="N6" s="25"/>
      <c r="O6" s="25"/>
      <c r="P6" s="25"/>
      <c r="Q6" s="25"/>
    </row>
    <row r="7" spans="1:256">
      <c r="A7" s="650" t="s">
        <v>152</v>
      </c>
      <c r="B7" s="651">
        <f>'Valores en precios 2014'!B45*(1+B13)</f>
        <v>90551.305118115517</v>
      </c>
      <c r="C7" s="652">
        <f>'Valores en precios 2014'!C45*(1+C13)</f>
        <v>406254.67751739779</v>
      </c>
      <c r="D7" s="652">
        <f>'Valores en precios 2014'!D45*(1+D13)</f>
        <v>465827.74626119371</v>
      </c>
      <c r="E7" s="652">
        <f>'Valores en precios 2014'!E45*(1+E13)</f>
        <v>417019.40143342043</v>
      </c>
      <c r="F7" s="653">
        <f>'Valores en precios 2014'!F45*(1+F13)</f>
        <v>2210041.6193859326</v>
      </c>
      <c r="G7" s="65" t="s">
        <v>87</v>
      </c>
      <c r="N7" s="25"/>
      <c r="O7" s="25"/>
      <c r="P7" s="25"/>
      <c r="Q7" s="25"/>
    </row>
    <row r="8" spans="1:256">
      <c r="A8" s="650" t="s">
        <v>250</v>
      </c>
      <c r="B8" s="651">
        <f>'Valores en precios 2014'!B46*(1+B13)</f>
        <v>2529.4900612984407</v>
      </c>
      <c r="C8" s="652">
        <f>'Valores en precios 2014'!C46*(1+C13)</f>
        <v>128172.40472260232</v>
      </c>
      <c r="D8" s="652">
        <f>'Valores en precios 2014'!D46*(1+D13)</f>
        <v>171815.74767424262</v>
      </c>
      <c r="E8" s="652">
        <f>'Valores en precios 2014'!E46*(1+E13)</f>
        <v>80258.529436002616</v>
      </c>
      <c r="F8" s="653">
        <f>'Valores en precios 2014'!F46*(1+F13)</f>
        <v>507948.49529950053</v>
      </c>
      <c r="G8" s="65" t="s">
        <v>87</v>
      </c>
      <c r="N8" s="25"/>
      <c r="O8" s="25"/>
      <c r="P8" s="25"/>
      <c r="Q8" s="25"/>
    </row>
    <row r="9" spans="1:256">
      <c r="A9" s="606" t="s">
        <v>254</v>
      </c>
      <c r="B9" s="648">
        <f>'Valores en precios 2014'!B47</f>
        <v>424206.04188283667</v>
      </c>
      <c r="C9" s="274">
        <f>'Valores en precios 2014'!C47</f>
        <v>634716.64579043502</v>
      </c>
      <c r="D9" s="274">
        <f>'Valores en precios 2014'!D47</f>
        <v>2103717.7024551202</v>
      </c>
      <c r="E9" s="274">
        <f>'Valores en precios 2014'!E47</f>
        <v>2024577.1390165365</v>
      </c>
      <c r="F9" s="649">
        <f>'Valores en precios 2014'!F47</f>
        <v>4392051.1136664925</v>
      </c>
      <c r="G9" s="57" t="s">
        <v>87</v>
      </c>
      <c r="N9" s="25"/>
      <c r="O9" s="25"/>
      <c r="P9" s="26"/>
      <c r="Q9" s="25"/>
    </row>
    <row r="10" spans="1:256">
      <c r="A10" s="650" t="s">
        <v>151</v>
      </c>
      <c r="B10" s="651">
        <f>SUM(B6:B9)</f>
        <v>797497.31647749827</v>
      </c>
      <c r="C10" s="652">
        <f>SUM(C6:C9)</f>
        <v>2131781.1158314799</v>
      </c>
      <c r="D10" s="652">
        <f>SUM(D6:D9)</f>
        <v>9418354.3219560571</v>
      </c>
      <c r="E10" s="652">
        <f>SUM(E6:E9)</f>
        <v>3213567.8271302176</v>
      </c>
      <c r="F10" s="653">
        <f>SUM(F6:F9)</f>
        <v>9479772.3847789951</v>
      </c>
      <c r="G10" s="65" t="s">
        <v>87</v>
      </c>
      <c r="N10" s="25"/>
      <c r="O10" s="25"/>
      <c r="P10" s="25"/>
      <c r="Q10" s="25"/>
    </row>
    <row r="11" spans="1:256" ht="16">
      <c r="A11" s="654" t="s">
        <v>247</v>
      </c>
      <c r="B11" s="655">
        <f>B10/'Valores en precios 2014'!B48-1</f>
        <v>1.3106567642136246E-2</v>
      </c>
      <c r="C11" s="656">
        <f>C10/'Valores en precios 2014'!C48-1</f>
        <v>1.1450715944321121E-3</v>
      </c>
      <c r="D11" s="656">
        <f>D10/'Valores en precios 2014'!D48-1</f>
        <v>2.9020499026646274E-3</v>
      </c>
      <c r="E11" s="656">
        <f>E10/'Valores en precios 2014'!E48-1</f>
        <v>1.116225367373036E-2</v>
      </c>
      <c r="F11" s="657">
        <f>F10/'Valores en precios 2014'!F48-1</f>
        <v>3.2859027792577766E-3</v>
      </c>
      <c r="G11" s="658"/>
      <c r="N11" s="25"/>
      <c r="O11" s="25"/>
      <c r="P11" s="25"/>
      <c r="Q11" s="25"/>
    </row>
    <row r="12" spans="1:256" ht="16">
      <c r="A12" s="654" t="s">
        <v>248</v>
      </c>
      <c r="B12" s="655">
        <f>(B7-'Valores en precios 2014'!B45+B8-'Valores en precios 2014'!B46)/B9</f>
        <v>2.4321268543129687E-2</v>
      </c>
      <c r="C12" s="656">
        <f>(C7-'Valores en precios 2014'!C45+C8-'Valores en precios 2014'!C46)/C9</f>
        <v>3.841477999050818E-3</v>
      </c>
      <c r="D12" s="656">
        <f>(D7-'Valores en precios 2014'!D45+D8-'Valores en precios 2014'!D46)/D9</f>
        <v>1.295489568716833E-2</v>
      </c>
      <c r="E12" s="656">
        <f>(E7-'Valores en precios 2014'!E45+E8-'Valores en precios 2014'!E46)/E9</f>
        <v>1.7522020377643943E-2</v>
      </c>
      <c r="F12" s="657">
        <f>(F7-'Valores en precios 2014'!F45+F8-'Valores en precios 2014'!F46)/F9</f>
        <v>7.0690413787562892E-3</v>
      </c>
      <c r="G12" s="658"/>
      <c r="H12" s="21" t="s">
        <v>189</v>
      </c>
      <c r="I12" s="21"/>
      <c r="J12" s="22"/>
      <c r="K12" s="25"/>
      <c r="L12" s="25"/>
      <c r="M12" s="25"/>
      <c r="N12" s="25"/>
      <c r="O12" s="25"/>
      <c r="P12" s="25"/>
      <c r="Q12" s="25"/>
      <c r="R12" s="25"/>
      <c r="S12" s="25"/>
      <c r="T12" s="25"/>
    </row>
    <row r="13" spans="1:256" ht="17" thickBot="1">
      <c r="A13" s="659" t="s">
        <v>249</v>
      </c>
      <c r="B13" s="660">
        <f>Agropecuario!B37</f>
        <v>0.12465906855252118</v>
      </c>
      <c r="C13" s="661">
        <f>Construcción!B37</f>
        <v>4.5832729614046297E-3</v>
      </c>
      <c r="D13" s="661">
        <f>Ind.Manufacturera!B37</f>
        <v>4.4649226123897247E-2</v>
      </c>
      <c r="E13" s="661">
        <f>Comercio!B37</f>
        <v>7.6817739944549851E-2</v>
      </c>
      <c r="F13" s="662">
        <f>Servicios!B37</f>
        <v>1.1554988909189901E-2</v>
      </c>
      <c r="G13" s="663"/>
      <c r="J13" s="25"/>
      <c r="K13" s="25"/>
      <c r="L13" s="25"/>
      <c r="M13" s="25"/>
      <c r="N13" s="25"/>
      <c r="O13" s="25"/>
      <c r="P13" s="25"/>
      <c r="Q13" s="25"/>
      <c r="R13" s="25"/>
      <c r="S13" s="25"/>
      <c r="T13" s="25"/>
    </row>
    <row r="14" spans="1:256" ht="16">
      <c r="A14" s="397" t="s">
        <v>146</v>
      </c>
      <c r="B14" s="264"/>
      <c r="C14" s="656"/>
      <c r="D14" s="656"/>
      <c r="E14" s="656"/>
      <c r="F14" s="656"/>
      <c r="G14" s="664"/>
      <c r="J14" s="25"/>
      <c r="K14" s="25"/>
      <c r="L14" s="25"/>
      <c r="M14" s="25"/>
      <c r="N14" s="25"/>
      <c r="O14" s="25"/>
      <c r="P14" s="25"/>
      <c r="Q14" s="25"/>
      <c r="R14" s="25"/>
      <c r="S14" s="25"/>
      <c r="T14" s="25"/>
    </row>
    <row r="15" spans="1:256" ht="17" thickBot="1">
      <c r="A15" s="665"/>
      <c r="B15" s="665"/>
      <c r="C15" s="665"/>
      <c r="D15" s="665"/>
      <c r="E15" s="665"/>
      <c r="F15" s="665"/>
      <c r="G15" s="664"/>
    </row>
    <row r="16" spans="1:256" ht="15" thickBot="1">
      <c r="A16" s="833" t="s">
        <v>153</v>
      </c>
      <c r="B16" s="834"/>
      <c r="C16" s="834"/>
      <c r="D16" s="834"/>
      <c r="E16" s="834"/>
      <c r="F16" s="835"/>
      <c r="G16" s="666"/>
    </row>
    <row r="17" spans="1:8" ht="43" thickBot="1">
      <c r="A17" s="643" t="s">
        <v>175</v>
      </c>
      <c r="B17" s="597" t="s">
        <v>47</v>
      </c>
      <c r="C17" s="595" t="s">
        <v>15</v>
      </c>
      <c r="D17" s="595" t="s">
        <v>49</v>
      </c>
      <c r="E17" s="595" t="s">
        <v>17</v>
      </c>
      <c r="F17" s="598" t="s">
        <v>89</v>
      </c>
      <c r="G17" s="667"/>
      <c r="H17" s="25"/>
    </row>
    <row r="18" spans="1:8" ht="35" customHeight="1">
      <c r="A18" s="603" t="s">
        <v>47</v>
      </c>
      <c r="B18" s="668">
        <f>'Utilización ByS 2008'!G11/'Utilización ByS 2008'!G30</f>
        <v>0.31668092031342326</v>
      </c>
      <c r="C18" s="668">
        <f>'Utilización ByS 2008'!J11/'Utilización ByS 2008'!J30</f>
        <v>9.3744982198390718E-4</v>
      </c>
      <c r="D18" s="668">
        <f>'Utilización ByS 2008'!K11/'Utilización ByS 2008'!K30</f>
        <v>9.0376017699019248E-2</v>
      </c>
      <c r="E18" s="668">
        <f>'Utilización ByS 2008'!L11/'Utilización ByS 2008'!L30</f>
        <v>0</v>
      </c>
      <c r="F18" s="669">
        <f>SUM('Utilización ByS 2008'!M11:Y11)/SUM('Utilización ByS 2008'!M30:Y30)</f>
        <v>2.8138080996348148E-5</v>
      </c>
      <c r="G18" s="670"/>
      <c r="H18" s="25"/>
    </row>
    <row r="19" spans="1:8" ht="16">
      <c r="A19" s="606" t="s">
        <v>15</v>
      </c>
      <c r="B19" s="671">
        <f>'Utilización ByS 2008'!G14/'Utilización ByS 2008'!G30</f>
        <v>5.2613812627365659E-3</v>
      </c>
      <c r="C19" s="671">
        <f>'Utilización ByS 2008'!J14/'Utilización ByS 2008'!J30</f>
        <v>0.14028877780336632</v>
      </c>
      <c r="D19" s="671">
        <f>'Utilización ByS 2008'!K14/'Utilización ByS 2008'!K30</f>
        <v>5.170171423246366E-4</v>
      </c>
      <c r="E19" s="671">
        <f>'Utilización ByS 2008'!L14/'Utilización ByS 2008'!L30</f>
        <v>4.3546311253996025E-3</v>
      </c>
      <c r="F19" s="672">
        <f>SUM('Utilización ByS 2008'!M14:Y14)/SUM('Utilización ByS 2008'!M30:Y30)</f>
        <v>6.8649810741225918E-3</v>
      </c>
      <c r="G19" s="670"/>
      <c r="H19" s="25"/>
    </row>
    <row r="20" spans="1:8" ht="16">
      <c r="A20" s="606" t="s">
        <v>49</v>
      </c>
      <c r="B20" s="671">
        <f>'Utilización ByS 2008'!G15/'Utilización ByS 2008'!G30</f>
        <v>0.58112528261466212</v>
      </c>
      <c r="C20" s="671">
        <f>'Utilización ByS 2008'!J15/'Utilización ByS 2008'!J30</f>
        <v>0.66900020258141624</v>
      </c>
      <c r="D20" s="671">
        <f>'Utilización ByS 2008'!K15/'Utilización ByS 2008'!K30</f>
        <v>0.68689876407863182</v>
      </c>
      <c r="E20" s="671">
        <f>'Utilización ByS 2008'!L15/'Utilización ByS 2008'!L30</f>
        <v>0.33919565658111406</v>
      </c>
      <c r="F20" s="672">
        <f>SUM('Utilización ByS 2008'!M15:Y15)/SUM('Utilización ByS 2008'!M30:Y30)</f>
        <v>0.39548846738607746</v>
      </c>
      <c r="G20" s="670"/>
      <c r="H20" s="25"/>
    </row>
    <row r="21" spans="1:8" ht="16">
      <c r="A21" s="606" t="s">
        <v>17</v>
      </c>
      <c r="B21" s="671">
        <f>'Utilización ByS 2008'!G16/'Utilización ByS 2008'!G30</f>
        <v>0</v>
      </c>
      <c r="C21" s="671">
        <f>'Utilización ByS 2008'!J16/'Utilización ByS 2008'!J30</f>
        <v>0</v>
      </c>
      <c r="D21" s="671">
        <f>'Utilización ByS 2008'!K16/'Utilización ByS 2008'!K30</f>
        <v>0</v>
      </c>
      <c r="E21" s="671">
        <f>'Utilización ByS 2008'!L16/'Utilización ByS 2008'!L30</f>
        <v>0</v>
      </c>
      <c r="F21" s="672">
        <f>SUM('Utilización ByS 2008'!M16:Y16)/SUM('Utilización ByS 2008'!M30:Y30)</f>
        <v>0</v>
      </c>
      <c r="G21" s="670"/>
      <c r="H21" s="25"/>
    </row>
    <row r="22" spans="1:8" ht="17" thickBot="1">
      <c r="A22" s="610" t="s">
        <v>89</v>
      </c>
      <c r="B22" s="673">
        <f>SUM('Utilización ByS 2008'!G17:G29)/'Utilización ByS 2008'!G30</f>
        <v>4.4392831317962463E-2</v>
      </c>
      <c r="C22" s="673">
        <f>SUM('Utilización ByS 2008'!J17:J29)/'Utilización ByS 2008'!J30</f>
        <v>0.15025032834890423</v>
      </c>
      <c r="D22" s="673">
        <f>SUM('Utilización ByS 2008'!K17:K29)/'Utilización ByS 2008'!K30</f>
        <v>7.3064498626184304E-2</v>
      </c>
      <c r="E22" s="673">
        <f>SUM('Utilización ByS 2008'!L17:L29)/'Utilización ByS 2008'!L30</f>
        <v>0.57196895711908291</v>
      </c>
      <c r="F22" s="674">
        <f>SUM('Utilización ByS 2008'!M17:Y29)/SUM('Utilización ByS 2008'!M30:Y30)</f>
        <v>0.53485108947783044</v>
      </c>
      <c r="G22" s="670"/>
      <c r="H22" s="25"/>
    </row>
    <row r="23" spans="1:8">
      <c r="A23" s="397" t="s">
        <v>146</v>
      </c>
      <c r="B23" s="163"/>
      <c r="C23" s="163"/>
      <c r="D23" s="163"/>
      <c r="E23" s="163"/>
      <c r="F23" s="163"/>
      <c r="G23" s="628"/>
      <c r="H23" s="25"/>
    </row>
    <row r="24" spans="1:8" ht="15" thickBot="1">
      <c r="A24" s="397"/>
      <c r="B24" s="163"/>
      <c r="C24" s="163"/>
      <c r="D24" s="163"/>
      <c r="E24" s="163"/>
      <c r="F24" s="163"/>
      <c r="G24" s="628"/>
      <c r="H24" s="25"/>
    </row>
    <row r="25" spans="1:8" ht="43" thickBot="1">
      <c r="A25" s="173"/>
      <c r="B25" s="177" t="s">
        <v>229</v>
      </c>
      <c r="C25" s="177" t="s">
        <v>230</v>
      </c>
      <c r="D25" s="177" t="s">
        <v>231</v>
      </c>
      <c r="E25" s="177" t="s">
        <v>232</v>
      </c>
      <c r="F25" s="177" t="s">
        <v>233</v>
      </c>
      <c r="G25" s="628"/>
      <c r="H25" s="25"/>
    </row>
    <row r="26" spans="1:8" ht="16" thickBot="1">
      <c r="A26" s="619"/>
      <c r="B26" s="620">
        <f>'Valores en precios 2014'!B13</f>
        <v>1.2900515795321867</v>
      </c>
      <c r="C26" s="620">
        <f>'Valores en precios 2014'!C13</f>
        <v>1.1319440061878228</v>
      </c>
      <c r="D26" s="620">
        <f>'Valores en precios 2014'!D13</f>
        <v>1.3388093484976218</v>
      </c>
      <c r="E26" s="620">
        <f>'Valores en precios 2014'!E13</f>
        <v>1.3921966569260209</v>
      </c>
      <c r="F26" s="620">
        <f>'Valores en precios 2014'!F13</f>
        <v>1.3116369419736533</v>
      </c>
      <c r="G26" s="354"/>
    </row>
    <row r="27" spans="1:8" ht="15">
      <c r="A27" s="397" t="s">
        <v>234</v>
      </c>
      <c r="B27" s="621"/>
      <c r="C27" s="622"/>
      <c r="D27" s="622"/>
      <c r="E27" s="622"/>
      <c r="F27" s="622"/>
      <c r="G27" s="354"/>
    </row>
    <row r="28" spans="1:8">
      <c r="A28" s="623" t="s">
        <v>176</v>
      </c>
      <c r="B28" s="163"/>
      <c r="C28" s="163"/>
      <c r="D28" s="163"/>
      <c r="E28" s="163"/>
      <c r="F28" s="163"/>
      <c r="G28" s="354"/>
    </row>
    <row r="29" spans="1:8" ht="16">
      <c r="A29" s="664"/>
      <c r="B29" s="163"/>
      <c r="C29" s="163"/>
      <c r="D29" s="163"/>
      <c r="E29" s="163"/>
      <c r="F29" s="163"/>
      <c r="G29" s="354"/>
    </row>
    <row r="30" spans="1:8" ht="15" thickBot="1">
      <c r="A30" s="836" t="s">
        <v>257</v>
      </c>
      <c r="B30" s="837"/>
      <c r="C30" s="837"/>
      <c r="D30" s="837"/>
      <c r="E30" s="837"/>
      <c r="F30" s="837"/>
      <c r="G30" s="837"/>
    </row>
    <row r="31" spans="1:8" ht="43" thickBot="1">
      <c r="A31" s="643" t="s">
        <v>63</v>
      </c>
      <c r="B31" s="595" t="s">
        <v>47</v>
      </c>
      <c r="C31" s="595" t="s">
        <v>15</v>
      </c>
      <c r="D31" s="595" t="s">
        <v>49</v>
      </c>
      <c r="E31" s="595" t="s">
        <v>17</v>
      </c>
      <c r="F31" s="595" t="s">
        <v>89</v>
      </c>
      <c r="G31" s="596" t="s">
        <v>94</v>
      </c>
    </row>
    <row r="32" spans="1:8">
      <c r="A32" s="675" t="s">
        <v>255</v>
      </c>
      <c r="B32" s="676">
        <f>(('Utilización ByS 2008'!G11*(1+B11))+'Utilización ByS 2008'!G12+'Utilización ByS 2008'!G13+('Utilización ByS 2008'!G14*(1+C11))+('Utilización ByS 2008'!G15*(1+D11))+('Utilización ByS 2008'!G16*(1+E11))+('Utilización ByS 2008'!G17+'Utilización ByS 2008'!G18+'Utilización ByS 2008'!G19+'Utilización ByS 2008'!G20+'Utilización ByS 2008'!G21+'Utilización ByS 2008'!G22+'Utilización ByS 2008'!G23+'Utilización ByS 2008'!G24+'Utilización ByS 2008'!G25+'Utilización ByS 2008'!G26+'Utilización ByS 2008'!G27+'Utilización ByS 2008'!G28+'Utilización ByS 2008'!G29)*(1+F11))*($B$26)</f>
        <v>281888.64587037521</v>
      </c>
      <c r="C32" s="676">
        <f>(('Utilización ByS 2008'!J11*(1+B11))+'Utilización ByS 2008'!J12+'Utilización ByS 2008'!J13+('Utilización ByS 2008'!J14*(1+C11))+('Utilización ByS 2008'!J15*(1+D11))+('Utilización ByS 2008'!J16*(1+E11))+('Utilización ByS 2008'!J17+'Utilización ByS 2008'!J18+'Utilización ByS 2008'!J19+'Utilización ByS 2008'!J20+'Utilización ByS 2008'!J21+'Utilización ByS 2008'!J22+'Utilización ByS 2008'!J23+'Utilización ByS 2008'!J24+'Utilización ByS 2008'!J25+'Utilización ByS 2008'!J26+'Utilización ByS 2008'!J27+'Utilización ByS 2008'!J28+'Utilización ByS 2008'!J29)*(1+F11))*($C$26)</f>
        <v>965148.04948439647</v>
      </c>
      <c r="D32" s="676">
        <f>(('Utilización ByS 2008'!K11*(1+B11))+'Utilización ByS 2008'!K12+'Utilización ByS 2008'!K13+('Utilización ByS 2008'!K14*(1+C11))+('Utilización ByS 2008'!K15*(1+D11))+('Utilización ByS 2008'!K16*(1+E11))+('Utilización ByS 2008'!K17+'Utilización ByS 2008'!K18+'Utilización ByS 2008'!K19+'Utilización ByS 2008'!K20+'Utilización ByS 2008'!K21+'Utilización ByS 2008'!K22+'Utilización ByS 2008'!K23+'Utilización ByS 2008'!K24+'Utilización ByS 2008'!K25+'Utilización ByS 2008'!K26+'Utilización ByS 2008'!K27+'Utilización ByS 2008'!K28+'Utilización ByS 2008'!K29)*(1+F11))*($D$26)</f>
        <v>6699819.1526306802</v>
      </c>
      <c r="E32" s="676">
        <f>(('Utilización ByS 2008'!L11*(1+B11))+'Utilización ByS 2008'!L12+'Utilización ByS 2008'!L13+('Utilización ByS 2008'!L14*(1+C11))+('Utilización ByS 2008'!L15*(1+D11))+('Utilización ByS 2008'!L16*(1+E11))+('Utilización ByS 2008'!L17+'Utilización ByS 2008'!L18+'Utilización ByS 2008'!L19+'Utilización ByS 2008'!L20+'Utilización ByS 2008'!L21+'Utilización ByS 2008'!L22+'Utilización ByS 2008'!L23+'Utilización ByS 2008'!L24+'Utilización ByS 2008'!L25+'Utilización ByS 2008'!L26+'Utilización ByS 2008'!L27+'Utilización ByS 2008'!L28+'Utilización ByS 2008'!L29)*(1+F11))*($E$26)</f>
        <v>693697.13136990089</v>
      </c>
      <c r="F32" s="676">
        <f>(SUM('Utilización ByS 2008'!M11:Y11)*(1+B11)+SUM('Utilización ByS 2008'!M12:Y12)+SUM('Utilización ByS 2008'!M13:Y13)+(SUM('Utilización ByS 2008'!M14:Y14)*(1+C11))+(SUM('Utilización ByS 2008'!M15:Y15)*(1+D11))+(SUM('Utilización ByS 2008'!M16:Y16)*(1+E11))+(SUM('Utilización ByS 2008'!M17:Y17)+SUM('Utilización ByS 2008'!M18:Y18)+SUM('Utilización ByS 2008'!M19:Y19)+SUM('Utilización ByS 2008'!M20:Y20)+SUM('Utilización ByS 2008'!M21:Y21)+SUM('Utilización ByS 2008'!M22:Y22)+SUM('Utilización ByS 2008'!M23:Y23)+SUM('Utilización ByS 2008'!M24:Y24)+SUM('Utilización ByS 2008'!M25:Y25)+SUM('Utilización ByS 2008'!M26:Y26)+SUM('Utilización ByS 2008'!M27:Y27)+SUM('Utilización ByS 2008'!M28:Y28)+SUM('Utilización ByS 2008'!M29:Y29))*(1+F11))*($F$26)</f>
        <v>2376635.1919337809</v>
      </c>
      <c r="G32" s="65" t="s">
        <v>87</v>
      </c>
    </row>
    <row r="33" spans="1:7">
      <c r="A33" s="606" t="s">
        <v>152</v>
      </c>
      <c r="B33" s="677">
        <f t="shared" ref="B33:F35" si="0">B7</f>
        <v>90551.305118115517</v>
      </c>
      <c r="C33" s="677">
        <f t="shared" si="0"/>
        <v>406254.67751739779</v>
      </c>
      <c r="D33" s="677">
        <f t="shared" si="0"/>
        <v>465827.74626119371</v>
      </c>
      <c r="E33" s="677">
        <f t="shared" si="0"/>
        <v>417019.40143342043</v>
      </c>
      <c r="F33" s="677">
        <f t="shared" si="0"/>
        <v>2210041.6193859326</v>
      </c>
      <c r="G33" s="57" t="s">
        <v>87</v>
      </c>
    </row>
    <row r="34" spans="1:7">
      <c r="A34" s="606" t="s">
        <v>250</v>
      </c>
      <c r="B34" s="677">
        <f t="shared" si="0"/>
        <v>2529.4900612984407</v>
      </c>
      <c r="C34" s="677">
        <f t="shared" si="0"/>
        <v>128172.40472260232</v>
      </c>
      <c r="D34" s="677">
        <f t="shared" si="0"/>
        <v>171815.74767424262</v>
      </c>
      <c r="E34" s="677">
        <f t="shared" si="0"/>
        <v>80258.529436002616</v>
      </c>
      <c r="F34" s="677">
        <f t="shared" si="0"/>
        <v>507948.49529950053</v>
      </c>
      <c r="G34" s="57" t="s">
        <v>87</v>
      </c>
    </row>
    <row r="35" spans="1:7">
      <c r="A35" s="606" t="s">
        <v>254</v>
      </c>
      <c r="B35" s="677">
        <f t="shared" si="0"/>
        <v>424206.04188283667</v>
      </c>
      <c r="C35" s="677">
        <f t="shared" si="0"/>
        <v>634716.64579043502</v>
      </c>
      <c r="D35" s="677">
        <f t="shared" si="0"/>
        <v>2103717.7024551202</v>
      </c>
      <c r="E35" s="677">
        <f t="shared" si="0"/>
        <v>2024577.1390165365</v>
      </c>
      <c r="F35" s="677">
        <f t="shared" si="0"/>
        <v>4392051.1136664925</v>
      </c>
      <c r="G35" s="57" t="s">
        <v>87</v>
      </c>
    </row>
    <row r="36" spans="1:7">
      <c r="A36" s="650" t="s">
        <v>151</v>
      </c>
      <c r="B36" s="678">
        <f>SUM(B32:B35)</f>
        <v>799175.4829326258</v>
      </c>
      <c r="C36" s="678">
        <f>SUM(C32:C35)</f>
        <v>2134291.7775148316</v>
      </c>
      <c r="D36" s="678">
        <f>SUM(D32:D35)</f>
        <v>9441180.3490212373</v>
      </c>
      <c r="E36" s="678">
        <f>SUM(E32:E35)</f>
        <v>3215552.2012558607</v>
      </c>
      <c r="F36" s="678">
        <f>SUM(F32:F35)</f>
        <v>9486676.4202857055</v>
      </c>
      <c r="G36" s="65" t="s">
        <v>87</v>
      </c>
    </row>
    <row r="37" spans="1:7">
      <c r="A37" s="654" t="s">
        <v>247</v>
      </c>
      <c r="B37" s="656">
        <f>B36/'Valores en precios 2014'!B48-1</f>
        <v>1.5238438711992375E-2</v>
      </c>
      <c r="C37" s="656">
        <f>C36/'Valores en precios 2014'!C48-1</f>
        <v>2.3241497615396067E-3</v>
      </c>
      <c r="D37" s="656">
        <f>D36/'Valores en precios 2014'!D48-1</f>
        <v>5.3326517416119046E-3</v>
      </c>
      <c r="E37" s="656">
        <f>E36/'Valores en precios 2014'!E48-1</f>
        <v>1.1786645104363114E-2</v>
      </c>
      <c r="F37" s="656">
        <f>F36/'Valores en precios 2014'!F48-1</f>
        <v>4.0165871475124071E-3</v>
      </c>
      <c r="G37" s="679"/>
    </row>
    <row r="38" spans="1:7">
      <c r="A38" s="654" t="s">
        <v>248</v>
      </c>
      <c r="B38" s="656">
        <f>(B36-'Valores en precios 2014'!B48)/'Efecto piramidado '!B35</f>
        <v>2.827728587772254E-2</v>
      </c>
      <c r="C38" s="656">
        <f>(C36-'Valores en precios 2014'!C48)/'Efecto piramidado '!C35</f>
        <v>7.7970410050051554E-3</v>
      </c>
      <c r="D38" s="656">
        <f>(D36-'Valores en precios 2014'!D48)/'Efecto piramidado '!D35</f>
        <v>2.3805223674873886E-2</v>
      </c>
      <c r="E38" s="656">
        <f>(E36-'Valores en precios 2014'!E48)/'Efecto piramidado '!E35</f>
        <v>1.8502162891061495E-2</v>
      </c>
      <c r="F38" s="656">
        <f>(F36-'Valores en precios 2014'!F48)/'Efecto piramidado '!F35</f>
        <v>8.6409801672710489E-3</v>
      </c>
      <c r="G38" s="679"/>
    </row>
    <row r="39" spans="1:7">
      <c r="A39" s="654" t="s">
        <v>249</v>
      </c>
      <c r="B39" s="656">
        <f>(B33+B34)/('Valores en precios 2014'!B45+'Valores en precios 2014'!B46)-1</f>
        <v>0.12465906855252107</v>
      </c>
      <c r="C39" s="656">
        <f>(C33+C34)/('Valores en precios 2014'!C45+'Valores en precios 2014'!C46)-1</f>
        <v>4.5832729614045942E-3</v>
      </c>
      <c r="D39" s="656">
        <f>(D33+D34)/('Valores en precios 2014'!D45+'Valores en precios 2014'!D46)-1</f>
        <v>4.4649226123897323E-2</v>
      </c>
      <c r="E39" s="656">
        <f>(E33+E34)/('Valores en precios 2014'!E45+'Valores en precios 2014'!E46)-1</f>
        <v>7.6817739944549768E-2</v>
      </c>
      <c r="F39" s="656">
        <f>(F33+F34)/('Valores en precios 2014'!F45+'Valores en precios 2014'!F46)-1</f>
        <v>1.1554988909189934E-2</v>
      </c>
      <c r="G39" s="679"/>
    </row>
    <row r="40" spans="1:7">
      <c r="A40" s="654" t="s">
        <v>350</v>
      </c>
      <c r="B40" s="273">
        <f>Agropecuario!B44+((B32-B6)/150*1000000/Agropecuario!B17)</f>
        <v>627725.71638666373</v>
      </c>
      <c r="C40" s="273">
        <f>Construcción!B44+(C32-C6)/365*1000000/Construcción!B17</f>
        <v>42507.448858662166</v>
      </c>
      <c r="D40" s="273">
        <f>Ind.Manufacturera!B44+(D32-D6)/365*1000000/Ind.Manufacturera!B17</f>
        <v>756349.16390088107</v>
      </c>
      <c r="E40" s="273">
        <f>Comercio!B44+(E32-E6)/365*1000000/Comercio!B17</f>
        <v>578771.7264033698</v>
      </c>
      <c r="F40" s="273">
        <f>Servicios!B44+(F32-F6)/365*1000000/Servicios!B17</f>
        <v>309021.61399374797</v>
      </c>
      <c r="G40" s="679" t="s">
        <v>351</v>
      </c>
    </row>
    <row r="41" spans="1:7" ht="15" thickBot="1">
      <c r="A41" s="659" t="s">
        <v>350</v>
      </c>
      <c r="B41" s="282">
        <f>B40/Agropecuario!B22</f>
        <v>0.13138956118200626</v>
      </c>
      <c r="C41" s="282">
        <f>C40/Construcción!B22</f>
        <v>1.1831053455206761E-2</v>
      </c>
      <c r="D41" s="282">
        <f>D40/Ind.Manufacturera!B22</f>
        <v>9.9209844090889482E-2</v>
      </c>
      <c r="E41" s="282">
        <f>E40/Comercio!B22</f>
        <v>6.6273365153664249E-2</v>
      </c>
      <c r="F41" s="282">
        <f>F40/Servicios!B22</f>
        <v>1.5253885334333535E-2</v>
      </c>
      <c r="G41" s="680"/>
    </row>
    <row r="42" spans="1:7">
      <c r="A42" s="397" t="s">
        <v>146</v>
      </c>
      <c r="B42" s="163"/>
      <c r="C42" s="163"/>
      <c r="D42" s="163"/>
      <c r="E42" s="163"/>
      <c r="F42" s="163"/>
      <c r="G42" s="354"/>
    </row>
    <row r="43" spans="1:7">
      <c r="A43" s="41"/>
      <c r="B43" s="41"/>
      <c r="C43" s="41"/>
      <c r="D43" s="41"/>
      <c r="E43" s="41"/>
      <c r="F43" s="41"/>
    </row>
    <row r="45" spans="1:7">
      <c r="A45" s="41"/>
      <c r="B45" s="41"/>
      <c r="C45" s="41"/>
      <c r="D45" s="41"/>
      <c r="E45" s="41"/>
      <c r="F45" s="41"/>
    </row>
    <row r="46" spans="1:7">
      <c r="A46" s="41"/>
      <c r="B46" s="41"/>
      <c r="C46" s="41"/>
      <c r="D46" s="41"/>
      <c r="E46" s="41"/>
      <c r="F46" s="41"/>
    </row>
    <row r="47" spans="1:7">
      <c r="A47" s="41"/>
      <c r="B47" s="41"/>
      <c r="C47" s="41"/>
      <c r="D47" s="41"/>
      <c r="E47" s="41"/>
      <c r="F47" s="41"/>
    </row>
    <row r="48" spans="1:7">
      <c r="A48" s="41"/>
      <c r="B48" s="41"/>
      <c r="C48" s="41"/>
      <c r="D48" s="41"/>
      <c r="E48" s="41"/>
      <c r="F48" s="41"/>
    </row>
    <row r="49" spans="1:6">
      <c r="A49" s="41"/>
      <c r="B49" s="41"/>
      <c r="C49" s="41"/>
      <c r="D49" s="41"/>
      <c r="E49" s="41"/>
      <c r="F49" s="41"/>
    </row>
    <row r="50" spans="1:6">
      <c r="A50" s="41"/>
      <c r="B50" s="41"/>
      <c r="C50" s="41"/>
      <c r="D50" s="41"/>
      <c r="E50" s="41"/>
      <c r="F50" s="41"/>
    </row>
    <row r="51" spans="1:6">
      <c r="A51" s="41"/>
      <c r="B51" s="41"/>
      <c r="C51" s="41"/>
      <c r="D51" s="41"/>
      <c r="E51" s="41"/>
      <c r="F51" s="41"/>
    </row>
    <row r="52" spans="1:6">
      <c r="A52" s="41"/>
      <c r="B52" s="41"/>
      <c r="C52" s="41"/>
      <c r="D52" s="41"/>
      <c r="E52" s="41"/>
      <c r="F52" s="41"/>
    </row>
    <row r="53" spans="1:6">
      <c r="A53" s="41"/>
      <c r="B53" s="41"/>
      <c r="C53" s="41"/>
      <c r="D53" s="41"/>
      <c r="E53" s="41"/>
      <c r="F53" s="41"/>
    </row>
    <row r="54" spans="1:6">
      <c r="A54" s="41"/>
      <c r="B54" s="41"/>
      <c r="C54" s="41"/>
      <c r="D54" s="41"/>
      <c r="E54" s="41"/>
      <c r="F54" s="41"/>
    </row>
    <row r="55" spans="1:6">
      <c r="A55" s="41"/>
      <c r="B55" s="41"/>
      <c r="C55" s="41"/>
      <c r="D55" s="41"/>
      <c r="E55" s="41"/>
      <c r="F55" s="41"/>
    </row>
  </sheetData>
  <sheetProtection password="CD86" sheet="1" objects="1" scenarios="1"/>
  <mergeCells count="2">
    <mergeCell ref="A16:F16"/>
    <mergeCell ref="A30:G30"/>
  </mergeCells>
  <pageMargins left="0.7" right="0.7" top="0.75" bottom="0.75" header="0.3" footer="0.3"/>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dimension ref="A1:N95"/>
  <sheetViews>
    <sheetView showGridLines="0" zoomScale="60" zoomScaleNormal="60" zoomScaleSheetLayoutView="50" zoomScalePageLayoutView="60" workbookViewId="0"/>
  </sheetViews>
  <sheetFormatPr baseColWidth="10" defaultColWidth="20.33203125" defaultRowHeight="14" x14ac:dyDescent="0"/>
  <cols>
    <col min="1" max="1" width="12.6640625" customWidth="1"/>
    <col min="2" max="3" width="20.33203125" hidden="1" customWidth="1"/>
    <col min="4" max="4" width="16.83203125" bestFit="1" customWidth="1"/>
    <col min="5" max="5" width="27.33203125" customWidth="1"/>
    <col min="6" max="6" width="23.33203125" customWidth="1"/>
    <col min="7" max="7" width="21.1640625" bestFit="1" customWidth="1"/>
    <col min="8" max="8" width="30" bestFit="1" customWidth="1"/>
    <col min="9" max="16" width="20.33203125" customWidth="1"/>
  </cols>
  <sheetData>
    <row r="1" spans="1:14" s="7" customFormat="1" ht="30.75" customHeight="1">
      <c r="A1" s="681" t="s">
        <v>241</v>
      </c>
      <c r="B1" s="681"/>
      <c r="C1" s="681"/>
      <c r="D1" s="681"/>
      <c r="E1" s="681"/>
      <c r="F1" s="681"/>
      <c r="G1" s="681"/>
      <c r="H1" s="681"/>
      <c r="I1" s="681"/>
      <c r="J1" s="681"/>
      <c r="K1" s="145"/>
      <c r="L1" s="145"/>
      <c r="M1" s="145"/>
      <c r="N1"/>
    </row>
    <row r="2" spans="1:14" s="7" customFormat="1" ht="30.75" customHeight="1">
      <c r="A2" s="682"/>
      <c r="B2" s="682"/>
      <c r="C2" s="682"/>
      <c r="D2" s="682"/>
      <c r="E2" s="682"/>
      <c r="F2" s="682"/>
      <c r="G2" s="682"/>
      <c r="H2" s="682"/>
      <c r="I2" s="682"/>
      <c r="J2" s="682"/>
      <c r="K2" s="146"/>
      <c r="L2" s="146"/>
      <c r="M2" s="146"/>
    </row>
    <row r="3" spans="1:14" s="7" customFormat="1" ht="21.75" customHeight="1" thickBot="1">
      <c r="A3" s="683"/>
      <c r="B3" s="683"/>
      <c r="C3" s="683"/>
      <c r="D3" s="683"/>
      <c r="E3" s="683"/>
      <c r="F3" s="684"/>
      <c r="G3" s="685"/>
      <c r="H3" s="685"/>
      <c r="I3" s="685"/>
      <c r="J3" s="686"/>
      <c r="K3" s="144"/>
      <c r="N3" s="60"/>
    </row>
    <row r="4" spans="1:14" s="7" customFormat="1" ht="19" thickBot="1">
      <c r="A4" s="733" t="s">
        <v>329</v>
      </c>
      <c r="B4" s="734"/>
      <c r="C4" s="734"/>
      <c r="D4" s="734"/>
      <c r="E4" s="735"/>
      <c r="F4" s="726" t="s">
        <v>70</v>
      </c>
      <c r="G4" s="727"/>
      <c r="H4" s="727"/>
      <c r="I4" s="727"/>
      <c r="J4" s="728"/>
      <c r="N4" s="60"/>
    </row>
    <row r="5" spans="1:14" s="7" customFormat="1" ht="19" thickBot="1">
      <c r="A5" s="841"/>
      <c r="B5" s="842"/>
      <c r="C5" s="842"/>
      <c r="D5" s="842"/>
      <c r="E5" s="843"/>
      <c r="F5" s="687" t="s">
        <v>14</v>
      </c>
      <c r="G5" s="687" t="s">
        <v>15</v>
      </c>
      <c r="H5" s="687" t="s">
        <v>182</v>
      </c>
      <c r="I5" s="687" t="s">
        <v>17</v>
      </c>
      <c r="J5" s="687" t="s">
        <v>18</v>
      </c>
      <c r="N5" s="60"/>
    </row>
    <row r="6" spans="1:14" s="7" customFormat="1" ht="18">
      <c r="A6" s="847" t="s">
        <v>331</v>
      </c>
      <c r="B6" s="848"/>
      <c r="C6" s="848"/>
      <c r="D6" s="848"/>
      <c r="E6" s="849"/>
      <c r="F6" s="688">
        <f>'Principal T'!G10</f>
        <v>3179993.0029688268</v>
      </c>
      <c r="G6" s="688">
        <f>'Principal T'!I10</f>
        <v>240919.39591214809</v>
      </c>
      <c r="H6" s="688">
        <f>'Principal T'!K10</f>
        <v>3211418.0509820897</v>
      </c>
      <c r="I6" s="688">
        <f>'Principal T'!M10</f>
        <v>4699961.6520091519</v>
      </c>
      <c r="J6" s="689">
        <f>'Principal T'!O10</f>
        <v>4414387.009729242</v>
      </c>
      <c r="N6" s="60"/>
    </row>
    <row r="7" spans="1:14" s="7" customFormat="1" ht="18">
      <c r="A7" s="844" t="s">
        <v>327</v>
      </c>
      <c r="B7" s="845"/>
      <c r="C7" s="845"/>
      <c r="D7" s="845"/>
      <c r="E7" s="846"/>
      <c r="F7" s="690">
        <f>'ENOE 1-14 Ocupación Informal '!G37/'ENOE 1-14 Ocupación Informal '!F37</f>
        <v>9.6540953635809904E-2</v>
      </c>
      <c r="G7" s="690">
        <f>'ENOE 1-14 Ocupación Informal '!G41/'ENOE 1-14 Ocupación Informal '!F41</f>
        <v>0.21850629994121032</v>
      </c>
      <c r="H7" s="690">
        <f>'ENOE 1-14 Ocupación Informal '!G40/'ENOE 1-14 Ocupación Informal '!F40</f>
        <v>0.600941182848448</v>
      </c>
      <c r="I7" s="690">
        <f>'ENOE 1-14 Ocupación Informal '!G43/'ENOE 1-14 Ocupación Informal '!F43</f>
        <v>0.37643847572975131</v>
      </c>
      <c r="J7" s="691">
        <f>SUM('ENOE 1-14 Ocupación Informal '!G44:G49)/SUM('ENOE 1-14 Ocupación Informal '!F44:F49)</f>
        <v>0.50039963997091519</v>
      </c>
      <c r="N7" s="60"/>
    </row>
    <row r="8" spans="1:14" s="7" customFormat="1" ht="18">
      <c r="A8" s="844" t="s">
        <v>328</v>
      </c>
      <c r="B8" s="845"/>
      <c r="C8" s="845"/>
      <c r="D8" s="845"/>
      <c r="E8" s="846"/>
      <c r="F8" s="690">
        <f>'ENOE 1-14 Ocupación Informal '!H37/'ENOE 1-14 Ocupación Informal '!F37</f>
        <v>0.90345904636419005</v>
      </c>
      <c r="G8" s="690">
        <f>'ENOE 1-14 Ocupación Informal '!H41/'ENOE 1-14 Ocupación Informal '!F41</f>
        <v>0.78149370005878971</v>
      </c>
      <c r="H8" s="690">
        <f>'ENOE 1-14 Ocupación Informal '!H40/'ENOE 1-14 Ocupación Informal '!F40</f>
        <v>0.399058817151552</v>
      </c>
      <c r="I8" s="690">
        <f>'ENOE 1-14 Ocupación Informal '!H43/'ENOE 1-14 Ocupación Informal '!F43</f>
        <v>0.62356152427024869</v>
      </c>
      <c r="J8" s="691">
        <f>SUM('ENOE 1-14 Ocupación Informal '!H44:H49)/(SUM('ENOE 1-14 Ocupación Informal '!F44:F49))</f>
        <v>0.49960036002908481</v>
      </c>
      <c r="N8" s="60"/>
    </row>
    <row r="9" spans="1:14" ht="19" thickBot="1">
      <c r="A9" s="838" t="s">
        <v>330</v>
      </c>
      <c r="B9" s="839"/>
      <c r="C9" s="839"/>
      <c r="D9" s="839"/>
      <c r="E9" s="840"/>
      <c r="F9" s="692">
        <f>'Principal T'!G10*'Informal y Formal '!F7</f>
        <v>306999.55706181342</v>
      </c>
      <c r="G9" s="692">
        <f>'Principal T'!I10*'Informal y Formal '!G7</f>
        <v>52642.405784835028</v>
      </c>
      <c r="H9" s="692">
        <f>'Principal T'!K10*'Informal y Formal '!H7</f>
        <v>1929873.3621780344</v>
      </c>
      <c r="I9" s="692">
        <f>'Principal T'!M10*'Informal y Formal '!I7</f>
        <v>1769246.400270609</v>
      </c>
      <c r="J9" s="693">
        <f>'Principal T'!O10*'Informal y Formal '!J7</f>
        <v>2208957.6703607976</v>
      </c>
      <c r="K9" s="63"/>
      <c r="L9" s="63"/>
      <c r="M9" s="63"/>
      <c r="N9" s="61"/>
    </row>
    <row r="10" spans="1:14" ht="30">
      <c r="A10" s="42"/>
      <c r="C10" s="42"/>
      <c r="D10" s="42"/>
      <c r="E10" s="44"/>
      <c r="H10" s="42"/>
      <c r="I10" s="42"/>
      <c r="J10" s="42"/>
      <c r="K10" s="42"/>
    </row>
    <row r="11" spans="1:14" ht="18">
      <c r="A11" s="42"/>
      <c r="B11" s="42"/>
      <c r="C11" s="42"/>
      <c r="D11" s="42"/>
      <c r="E11" s="42"/>
      <c r="F11" s="43"/>
      <c r="G11" s="42"/>
      <c r="H11" s="42"/>
      <c r="I11" s="42"/>
      <c r="J11" s="42"/>
    </row>
    <row r="12" spans="1:14" ht="18">
      <c r="A12" s="42"/>
      <c r="B12" s="42"/>
      <c r="C12" s="42"/>
      <c r="D12" s="42"/>
      <c r="E12" s="42"/>
      <c r="F12" s="42"/>
      <c r="G12" s="42"/>
      <c r="H12" s="42"/>
      <c r="I12" s="42"/>
      <c r="J12" s="42"/>
    </row>
    <row r="13" spans="1:14" ht="18">
      <c r="A13" s="42"/>
      <c r="B13" s="42"/>
      <c r="C13" s="42"/>
      <c r="D13" s="42"/>
      <c r="E13" s="42"/>
      <c r="F13" s="42"/>
      <c r="G13" s="42"/>
      <c r="H13" s="42"/>
      <c r="I13" s="42"/>
      <c r="J13" s="42"/>
    </row>
    <row r="14" spans="1:14" ht="18">
      <c r="A14" s="42"/>
      <c r="B14" s="42"/>
      <c r="C14" s="42"/>
      <c r="D14" s="42"/>
      <c r="E14" s="42"/>
      <c r="F14" s="42"/>
      <c r="G14" s="42"/>
      <c r="H14" s="42"/>
      <c r="I14" s="42"/>
      <c r="J14" s="42"/>
    </row>
    <row r="15" spans="1:14" ht="18">
      <c r="A15" s="42"/>
      <c r="B15" s="42"/>
      <c r="C15" s="42"/>
      <c r="D15" s="42"/>
      <c r="E15" s="42"/>
      <c r="F15" s="42"/>
      <c r="G15" s="42"/>
      <c r="H15" s="42"/>
      <c r="I15" s="42"/>
      <c r="J15" s="42"/>
    </row>
    <row r="16" spans="1:14" ht="18">
      <c r="A16" s="42"/>
      <c r="B16" s="42"/>
      <c r="C16" s="42"/>
      <c r="D16" s="42"/>
      <c r="E16" s="42"/>
      <c r="F16" s="42"/>
      <c r="G16" s="42"/>
      <c r="H16" s="42"/>
      <c r="I16" s="42"/>
      <c r="J16" s="42"/>
    </row>
    <row r="17" spans="1:10" ht="18">
      <c r="A17" s="42"/>
      <c r="B17" s="42"/>
      <c r="C17" s="42"/>
      <c r="D17" s="42"/>
      <c r="E17" s="42"/>
      <c r="F17" s="42"/>
      <c r="G17" s="42"/>
      <c r="H17" s="42"/>
      <c r="I17" s="42"/>
      <c r="J17" s="42"/>
    </row>
    <row r="18" spans="1:10" ht="18">
      <c r="A18" s="42"/>
      <c r="B18" s="42"/>
      <c r="C18" s="42"/>
      <c r="D18" s="42"/>
      <c r="E18" s="42"/>
      <c r="F18" s="42"/>
      <c r="G18" s="42"/>
      <c r="H18" s="42"/>
      <c r="I18" s="42"/>
      <c r="J18" s="42"/>
    </row>
    <row r="19" spans="1:10" ht="18">
      <c r="A19" s="42"/>
      <c r="B19" s="42"/>
      <c r="C19" s="42"/>
      <c r="D19" s="42"/>
      <c r="E19" s="42"/>
      <c r="F19" s="42"/>
      <c r="G19" s="42"/>
      <c r="H19" s="42"/>
      <c r="I19" s="42"/>
      <c r="J19" s="42"/>
    </row>
    <row r="20" spans="1:10" ht="18">
      <c r="A20" s="42"/>
      <c r="B20" s="42"/>
      <c r="C20" s="42"/>
      <c r="D20" s="42"/>
      <c r="E20" s="42"/>
      <c r="F20" s="42"/>
      <c r="G20" s="42"/>
      <c r="H20" s="42"/>
      <c r="I20" s="42"/>
      <c r="J20" s="42"/>
    </row>
    <row r="21" spans="1:10" ht="18">
      <c r="A21" s="42"/>
      <c r="B21" s="42"/>
      <c r="C21" s="42"/>
      <c r="D21" s="42"/>
      <c r="E21" s="42"/>
      <c r="F21" s="42"/>
      <c r="G21" s="42"/>
      <c r="H21" s="42"/>
      <c r="I21" s="42"/>
      <c r="J21" s="42"/>
    </row>
    <row r="22" spans="1:10" ht="18">
      <c r="A22" s="42"/>
      <c r="B22" s="42"/>
      <c r="C22" s="42"/>
      <c r="D22" s="42"/>
      <c r="E22" s="42"/>
      <c r="F22" s="42"/>
      <c r="G22" s="42"/>
      <c r="H22" s="42"/>
      <c r="I22" s="42"/>
      <c r="J22" s="42"/>
    </row>
    <row r="23" spans="1:10" ht="18">
      <c r="A23" s="42"/>
      <c r="B23" s="42"/>
      <c r="C23" s="42"/>
      <c r="D23" s="42"/>
      <c r="E23" s="42"/>
      <c r="F23" s="42"/>
      <c r="G23" s="42"/>
      <c r="H23" s="42"/>
      <c r="I23" s="42"/>
      <c r="J23" s="42"/>
    </row>
    <row r="24" spans="1:10" ht="18">
      <c r="A24" s="42"/>
      <c r="B24" s="42"/>
      <c r="C24" s="42"/>
      <c r="D24" s="42"/>
      <c r="E24" s="42"/>
      <c r="F24" s="42"/>
      <c r="G24" s="42"/>
      <c r="H24" s="42"/>
      <c r="I24" s="42"/>
      <c r="J24" s="42"/>
    </row>
    <row r="25" spans="1:10" ht="18">
      <c r="A25" s="42"/>
      <c r="B25" s="42"/>
      <c r="C25" s="42"/>
      <c r="D25" s="42"/>
      <c r="E25" s="42"/>
      <c r="F25" s="42"/>
      <c r="G25" s="42"/>
      <c r="H25" s="42"/>
      <c r="I25" s="42"/>
      <c r="J25" s="42"/>
    </row>
    <row r="26" spans="1:10" ht="18">
      <c r="A26" s="42"/>
      <c r="B26" s="42"/>
      <c r="C26" s="42"/>
      <c r="D26" s="42"/>
      <c r="E26" s="42"/>
      <c r="F26" s="42"/>
      <c r="G26" s="42"/>
      <c r="H26" s="42"/>
      <c r="I26" s="42"/>
      <c r="J26" s="42"/>
    </row>
    <row r="27" spans="1:10" ht="18">
      <c r="A27" s="42"/>
      <c r="B27" s="42"/>
      <c r="C27" s="42"/>
      <c r="D27" s="42"/>
      <c r="E27" s="42"/>
      <c r="F27" s="42"/>
      <c r="G27" s="42"/>
      <c r="H27" s="42"/>
      <c r="I27" s="42"/>
      <c r="J27" s="42"/>
    </row>
    <row r="28" spans="1:10" ht="18">
      <c r="A28" s="42"/>
      <c r="B28" s="42"/>
      <c r="C28" s="42"/>
      <c r="D28" s="42"/>
      <c r="E28" s="42"/>
      <c r="F28" s="42"/>
      <c r="G28" s="42"/>
      <c r="H28" s="42"/>
      <c r="I28" s="42"/>
      <c r="J28" s="42"/>
    </row>
    <row r="29" spans="1:10" ht="18">
      <c r="A29" s="42"/>
      <c r="B29" s="42"/>
      <c r="C29" s="42"/>
      <c r="D29" s="42"/>
      <c r="E29" s="42"/>
      <c r="F29" s="42"/>
      <c r="G29" s="42"/>
      <c r="H29" s="42"/>
      <c r="I29" s="42"/>
      <c r="J29" s="42"/>
    </row>
    <row r="30" spans="1:10" ht="18">
      <c r="A30" s="42"/>
      <c r="B30" s="42"/>
      <c r="C30" s="42"/>
      <c r="D30" s="42"/>
      <c r="E30" s="42"/>
      <c r="F30" s="42"/>
      <c r="G30" s="42"/>
      <c r="H30" s="42"/>
      <c r="I30" s="42"/>
      <c r="J30" s="42"/>
    </row>
    <row r="31" spans="1:10" ht="18">
      <c r="A31" s="42"/>
      <c r="B31" s="42"/>
      <c r="C31" s="42"/>
      <c r="D31" s="42"/>
      <c r="E31" s="42"/>
      <c r="F31" s="42"/>
      <c r="G31" s="42"/>
      <c r="H31" s="42"/>
      <c r="I31" s="42"/>
      <c r="J31" s="42"/>
    </row>
    <row r="32" spans="1:10" ht="18">
      <c r="A32" s="42"/>
      <c r="B32" s="42"/>
      <c r="C32" s="42"/>
      <c r="D32" s="42"/>
      <c r="E32" s="42"/>
      <c r="F32" s="42"/>
      <c r="G32" s="42"/>
      <c r="H32" s="42"/>
      <c r="I32" s="42"/>
      <c r="J32" s="42"/>
    </row>
    <row r="33" spans="1:10" ht="18">
      <c r="A33" s="42"/>
      <c r="B33" s="42"/>
      <c r="C33" s="42"/>
      <c r="D33" s="42"/>
      <c r="E33" s="42"/>
      <c r="F33" s="42"/>
      <c r="G33" s="42"/>
      <c r="H33" s="42"/>
      <c r="I33" s="42"/>
      <c r="J33" s="42"/>
    </row>
    <row r="34" spans="1:10" ht="18">
      <c r="A34" s="42"/>
      <c r="B34" s="42"/>
      <c r="C34" s="42"/>
      <c r="D34" s="42"/>
      <c r="E34" s="42"/>
      <c r="F34" s="42"/>
      <c r="G34" s="42"/>
      <c r="H34" s="42"/>
      <c r="I34" s="42"/>
      <c r="J34" s="42"/>
    </row>
    <row r="35" spans="1:10" ht="18">
      <c r="A35" s="42"/>
      <c r="B35" s="42"/>
      <c r="C35" s="42"/>
      <c r="D35" s="42"/>
      <c r="E35" s="42"/>
      <c r="F35" s="42"/>
      <c r="G35" s="42"/>
      <c r="H35" s="42"/>
      <c r="I35" s="42"/>
      <c r="J35" s="42"/>
    </row>
    <row r="36" spans="1:10" ht="18">
      <c r="A36" s="42"/>
      <c r="B36" s="42"/>
      <c r="C36" s="42"/>
      <c r="D36" s="42"/>
      <c r="E36" s="42"/>
      <c r="F36" s="42"/>
      <c r="G36" s="42"/>
      <c r="H36" s="42"/>
      <c r="I36" s="42"/>
      <c r="J36" s="42"/>
    </row>
    <row r="37" spans="1:10" ht="18">
      <c r="A37" s="42"/>
      <c r="B37" s="42"/>
      <c r="C37" s="42"/>
      <c r="D37" s="42"/>
      <c r="E37" s="42"/>
      <c r="F37" s="42"/>
      <c r="G37" s="42"/>
      <c r="H37" s="42"/>
      <c r="I37" s="42"/>
      <c r="J37" s="42"/>
    </row>
    <row r="38" spans="1:10" ht="18">
      <c r="A38" s="42"/>
      <c r="B38" s="42"/>
      <c r="C38" s="42"/>
      <c r="D38" s="42"/>
      <c r="E38" s="42"/>
      <c r="F38" s="42"/>
      <c r="G38" s="42"/>
      <c r="H38" s="42"/>
      <c r="I38" s="42"/>
      <c r="J38" s="42"/>
    </row>
    <row r="39" spans="1:10" ht="18">
      <c r="A39" s="42"/>
      <c r="B39" s="42"/>
      <c r="C39" s="42"/>
      <c r="D39" s="42"/>
      <c r="E39" s="42"/>
      <c r="F39" s="42"/>
      <c r="G39" s="42"/>
      <c r="H39" s="42"/>
      <c r="I39" s="42"/>
      <c r="J39" s="42"/>
    </row>
    <row r="40" spans="1:10" ht="18">
      <c r="A40" s="42"/>
      <c r="B40" s="42"/>
      <c r="C40" s="42"/>
      <c r="D40" s="42"/>
      <c r="E40" s="42"/>
      <c r="F40" s="42"/>
      <c r="G40" s="42"/>
      <c r="H40" s="42"/>
      <c r="I40" s="42"/>
      <c r="J40" s="42"/>
    </row>
    <row r="41" spans="1:10" ht="18">
      <c r="A41" s="42"/>
      <c r="B41" s="42"/>
      <c r="C41" s="42"/>
      <c r="D41" s="42"/>
      <c r="E41" s="42"/>
      <c r="F41" s="42"/>
      <c r="G41" s="42"/>
      <c r="H41" s="42"/>
      <c r="I41" s="42"/>
      <c r="J41" s="42"/>
    </row>
    <row r="42" spans="1:10" ht="18">
      <c r="A42" s="42"/>
      <c r="B42" s="42"/>
      <c r="C42" s="42"/>
      <c r="D42" s="42"/>
      <c r="E42" s="42"/>
      <c r="F42" s="42"/>
      <c r="G42" s="42"/>
      <c r="H42" s="42"/>
      <c r="I42" s="42"/>
      <c r="J42" s="42"/>
    </row>
    <row r="43" spans="1:10" ht="18">
      <c r="A43" s="42"/>
      <c r="B43" s="42"/>
      <c r="C43" s="42"/>
      <c r="D43" s="42"/>
      <c r="E43" s="42"/>
      <c r="F43" s="42"/>
      <c r="G43" s="42"/>
      <c r="H43" s="42"/>
      <c r="I43" s="42"/>
      <c r="J43" s="42"/>
    </row>
    <row r="44" spans="1:10" ht="18">
      <c r="A44" s="42"/>
      <c r="B44" s="42"/>
      <c r="C44" s="42"/>
      <c r="D44" s="42"/>
      <c r="E44" s="42"/>
      <c r="F44" s="42"/>
      <c r="G44" s="42"/>
      <c r="H44" s="42"/>
      <c r="I44" s="42"/>
      <c r="J44" s="42"/>
    </row>
    <row r="45" spans="1:10" ht="18">
      <c r="A45" s="42"/>
      <c r="B45" s="42"/>
      <c r="C45" s="42"/>
      <c r="D45" s="42"/>
      <c r="E45" s="42"/>
      <c r="F45" s="42"/>
      <c r="G45" s="42"/>
      <c r="H45" s="42"/>
      <c r="I45" s="42"/>
      <c r="J45" s="42"/>
    </row>
    <row r="46" spans="1:10" ht="18">
      <c r="A46" s="42"/>
      <c r="B46" s="42"/>
      <c r="C46" s="42"/>
      <c r="D46" s="42"/>
      <c r="E46" s="42"/>
      <c r="F46" s="42"/>
      <c r="G46" s="42"/>
      <c r="H46" s="42"/>
      <c r="I46" s="42"/>
      <c r="J46" s="42"/>
    </row>
    <row r="47" spans="1:10" ht="18">
      <c r="A47" s="42"/>
      <c r="B47" s="42"/>
      <c r="C47" s="42"/>
      <c r="D47" s="42"/>
      <c r="E47" s="42"/>
      <c r="F47" s="42"/>
      <c r="G47" s="42"/>
      <c r="H47" s="42"/>
      <c r="I47" s="42"/>
      <c r="J47" s="42"/>
    </row>
    <row r="48" spans="1:10" ht="18">
      <c r="A48" s="42"/>
      <c r="B48" s="42"/>
      <c r="C48" s="42"/>
      <c r="D48" s="42"/>
      <c r="E48" s="42"/>
      <c r="F48" s="42"/>
      <c r="G48" s="42"/>
      <c r="H48" s="42"/>
      <c r="I48" s="42"/>
      <c r="J48" s="42"/>
    </row>
    <row r="49" spans="1:10" ht="18">
      <c r="A49" s="42"/>
      <c r="B49" s="42"/>
      <c r="C49" s="42"/>
      <c r="D49" s="42"/>
      <c r="E49" s="42"/>
      <c r="F49" s="42"/>
      <c r="G49" s="42"/>
      <c r="H49" s="42"/>
      <c r="I49" s="42"/>
      <c r="J49" s="42"/>
    </row>
    <row r="50" spans="1:10" ht="18">
      <c r="A50" s="42"/>
      <c r="B50" s="42"/>
      <c r="C50" s="42"/>
      <c r="D50" s="42"/>
      <c r="E50" s="42"/>
      <c r="F50" s="42"/>
      <c r="G50" s="42"/>
      <c r="H50" s="42"/>
      <c r="I50" s="42"/>
      <c r="J50" s="42"/>
    </row>
    <row r="51" spans="1:10" ht="18">
      <c r="A51" s="42"/>
      <c r="B51" s="42"/>
      <c r="C51" s="42"/>
      <c r="D51" s="42"/>
      <c r="E51" s="42"/>
      <c r="F51" s="42"/>
      <c r="G51" s="42"/>
      <c r="H51" s="42"/>
      <c r="I51" s="42"/>
      <c r="J51" s="42"/>
    </row>
    <row r="52" spans="1:10" ht="18">
      <c r="A52" s="42"/>
      <c r="B52" s="42"/>
      <c r="C52" s="42"/>
      <c r="D52" s="42"/>
      <c r="E52" s="42"/>
      <c r="F52" s="42"/>
      <c r="G52" s="42"/>
      <c r="H52" s="42"/>
      <c r="I52" s="42"/>
      <c r="J52" s="42"/>
    </row>
    <row r="53" spans="1:10" ht="18">
      <c r="A53" s="42"/>
      <c r="B53" s="42"/>
      <c r="C53" s="42"/>
      <c r="D53" s="42"/>
      <c r="E53" s="42"/>
      <c r="F53" s="42"/>
      <c r="G53" s="42"/>
      <c r="H53" s="42"/>
      <c r="I53" s="42"/>
      <c r="J53" s="42"/>
    </row>
    <row r="54" spans="1:10" ht="18">
      <c r="A54" s="42"/>
      <c r="B54" s="42"/>
      <c r="C54" s="42"/>
      <c r="D54" s="42"/>
      <c r="E54" s="42"/>
      <c r="F54" s="42"/>
      <c r="G54" s="42"/>
      <c r="H54" s="42"/>
      <c r="I54" s="42"/>
      <c r="J54" s="42"/>
    </row>
    <row r="55" spans="1:10" ht="18">
      <c r="A55" s="42"/>
      <c r="B55" s="42"/>
      <c r="C55" s="42"/>
      <c r="D55" s="42"/>
      <c r="E55" s="42"/>
      <c r="F55" s="42"/>
      <c r="G55" s="42"/>
      <c r="H55" s="42"/>
      <c r="I55" s="42"/>
      <c r="J55" s="42"/>
    </row>
    <row r="56" spans="1:10" ht="18">
      <c r="A56" s="42"/>
      <c r="B56" s="42"/>
      <c r="C56" s="42"/>
      <c r="D56" s="42"/>
      <c r="E56" s="42"/>
      <c r="F56" s="42"/>
      <c r="G56" s="42"/>
      <c r="H56" s="42"/>
      <c r="I56" s="42"/>
      <c r="J56" s="42"/>
    </row>
    <row r="57" spans="1:10" ht="18">
      <c r="A57" s="42"/>
      <c r="B57" s="42"/>
      <c r="C57" s="42"/>
      <c r="D57" s="42"/>
      <c r="E57" s="42"/>
      <c r="F57" s="42"/>
      <c r="G57" s="42"/>
      <c r="H57" s="42"/>
      <c r="I57" s="42"/>
      <c r="J57" s="42"/>
    </row>
    <row r="58" spans="1:10" ht="18">
      <c r="A58" s="42"/>
      <c r="B58" s="42"/>
      <c r="C58" s="42"/>
      <c r="D58" s="42"/>
      <c r="E58" s="42"/>
      <c r="F58" s="42"/>
      <c r="G58" s="42"/>
      <c r="H58" s="42"/>
      <c r="I58" s="42"/>
      <c r="J58" s="42"/>
    </row>
    <row r="59" spans="1:10" ht="18">
      <c r="A59" s="42"/>
      <c r="B59" s="42"/>
      <c r="C59" s="42"/>
      <c r="D59" s="42"/>
      <c r="E59" s="42"/>
      <c r="F59" s="42"/>
      <c r="G59" s="42"/>
      <c r="H59" s="42"/>
      <c r="I59" s="42"/>
      <c r="J59" s="42"/>
    </row>
    <row r="60" spans="1:10" ht="18">
      <c r="A60" s="42"/>
      <c r="B60" s="42"/>
      <c r="C60" s="42"/>
      <c r="D60" s="42"/>
      <c r="E60" s="42"/>
      <c r="F60" s="42"/>
      <c r="G60" s="42"/>
      <c r="H60" s="42"/>
      <c r="I60" s="42"/>
      <c r="J60" s="42"/>
    </row>
    <row r="61" spans="1:10" ht="18">
      <c r="A61" s="42"/>
      <c r="B61" s="42"/>
      <c r="C61" s="42"/>
      <c r="D61" s="42"/>
      <c r="E61" s="42"/>
      <c r="F61" s="42"/>
      <c r="G61" s="42"/>
      <c r="H61" s="42"/>
      <c r="I61" s="42"/>
      <c r="J61" s="42"/>
    </row>
    <row r="62" spans="1:10" ht="18">
      <c r="A62" s="42"/>
      <c r="B62" s="42"/>
      <c r="C62" s="42"/>
      <c r="D62" s="42"/>
      <c r="E62" s="42"/>
      <c r="F62" s="42"/>
      <c r="G62" s="42"/>
      <c r="H62" s="42"/>
      <c r="I62" s="42"/>
      <c r="J62" s="42"/>
    </row>
    <row r="63" spans="1:10" ht="18">
      <c r="A63" s="42"/>
      <c r="B63" s="42"/>
      <c r="C63" s="42"/>
      <c r="D63" s="42"/>
      <c r="E63" s="42"/>
      <c r="F63" s="42"/>
      <c r="G63" s="42"/>
      <c r="H63" s="42"/>
      <c r="I63" s="42"/>
      <c r="J63" s="42"/>
    </row>
    <row r="64" spans="1:10" ht="18">
      <c r="A64" s="42"/>
      <c r="B64" s="42"/>
      <c r="C64" s="42"/>
      <c r="D64" s="42"/>
      <c r="E64" s="42"/>
      <c r="F64" s="42"/>
      <c r="G64" s="42"/>
      <c r="H64" s="42"/>
      <c r="I64" s="42"/>
      <c r="J64" s="42"/>
    </row>
    <row r="65" spans="1:10" ht="18">
      <c r="A65" s="42"/>
      <c r="B65" s="42"/>
      <c r="C65" s="42"/>
      <c r="D65" s="42"/>
      <c r="E65" s="42"/>
      <c r="F65" s="42"/>
      <c r="G65" s="42"/>
      <c r="H65" s="42"/>
      <c r="I65" s="42"/>
      <c r="J65" s="42"/>
    </row>
    <row r="66" spans="1:10" ht="18">
      <c r="A66" s="42"/>
      <c r="B66" s="42"/>
      <c r="C66" s="42"/>
      <c r="D66" s="42"/>
      <c r="E66" s="42"/>
      <c r="F66" s="42"/>
      <c r="G66" s="42"/>
      <c r="H66" s="42"/>
      <c r="I66" s="42"/>
      <c r="J66" s="42"/>
    </row>
    <row r="67" spans="1:10" ht="18">
      <c r="A67" s="42"/>
      <c r="B67" s="42"/>
      <c r="C67" s="42"/>
      <c r="D67" s="42"/>
      <c r="E67" s="42"/>
      <c r="F67" s="42"/>
      <c r="G67" s="42"/>
      <c r="H67" s="42"/>
      <c r="I67" s="42"/>
      <c r="J67" s="42"/>
    </row>
    <row r="68" spans="1:10" ht="18">
      <c r="A68" s="42"/>
      <c r="B68" s="42"/>
      <c r="C68" s="42"/>
      <c r="D68" s="42"/>
      <c r="E68" s="42"/>
      <c r="F68" s="42"/>
      <c r="G68" s="42"/>
      <c r="H68" s="42"/>
      <c r="I68" s="42"/>
      <c r="J68" s="42"/>
    </row>
    <row r="69" spans="1:10" ht="18">
      <c r="A69" s="42"/>
      <c r="B69" s="42"/>
      <c r="C69" s="42"/>
      <c r="D69" s="42"/>
      <c r="E69" s="42"/>
      <c r="F69" s="42"/>
      <c r="G69" s="42"/>
      <c r="H69" s="42"/>
      <c r="I69" s="42"/>
      <c r="J69" s="42"/>
    </row>
    <row r="70" spans="1:10" ht="18">
      <c r="A70" s="42"/>
      <c r="B70" s="42"/>
      <c r="C70" s="42"/>
      <c r="D70" s="42"/>
      <c r="E70" s="42"/>
      <c r="F70" s="42"/>
      <c r="G70" s="42"/>
      <c r="H70" s="42"/>
      <c r="I70" s="42"/>
      <c r="J70" s="42"/>
    </row>
    <row r="71" spans="1:10" ht="18">
      <c r="A71" s="42"/>
      <c r="B71" s="42"/>
      <c r="C71" s="42"/>
      <c r="D71" s="42"/>
      <c r="E71" s="42"/>
      <c r="F71" s="42"/>
      <c r="G71" s="42"/>
      <c r="H71" s="42"/>
      <c r="I71" s="42"/>
      <c r="J71" s="42"/>
    </row>
    <row r="72" spans="1:10" ht="18">
      <c r="A72" s="42"/>
      <c r="B72" s="42"/>
      <c r="C72" s="42"/>
      <c r="D72" s="42"/>
      <c r="E72" s="42"/>
      <c r="F72" s="42"/>
      <c r="G72" s="42"/>
      <c r="H72" s="42"/>
      <c r="I72" s="42"/>
      <c r="J72" s="42"/>
    </row>
    <row r="73" spans="1:10" ht="18">
      <c r="A73" s="42"/>
      <c r="B73" s="42"/>
      <c r="C73" s="42"/>
      <c r="D73" s="42"/>
      <c r="E73" s="42"/>
      <c r="F73" s="42"/>
      <c r="G73" s="42"/>
      <c r="H73" s="42"/>
      <c r="I73" s="42"/>
      <c r="J73" s="42"/>
    </row>
    <row r="74" spans="1:10" ht="18">
      <c r="A74" s="42"/>
      <c r="B74" s="42"/>
      <c r="C74" s="42"/>
      <c r="D74" s="42"/>
      <c r="E74" s="42"/>
      <c r="F74" s="42"/>
      <c r="G74" s="42"/>
      <c r="H74" s="42"/>
      <c r="I74" s="42"/>
      <c r="J74" s="42"/>
    </row>
    <row r="75" spans="1:10" ht="18">
      <c r="A75" s="42"/>
      <c r="B75" s="42"/>
      <c r="C75" s="42"/>
      <c r="D75" s="42"/>
      <c r="E75" s="42"/>
      <c r="F75" s="42"/>
      <c r="G75" s="42"/>
      <c r="H75" s="42"/>
      <c r="I75" s="42"/>
      <c r="J75" s="42"/>
    </row>
    <row r="76" spans="1:10" ht="18">
      <c r="A76" s="42"/>
      <c r="B76" s="42"/>
      <c r="C76" s="42"/>
      <c r="D76" s="42"/>
      <c r="E76" s="42"/>
      <c r="F76" s="42"/>
      <c r="G76" s="42"/>
      <c r="H76" s="42"/>
      <c r="I76" s="42"/>
      <c r="J76" s="42"/>
    </row>
    <row r="77" spans="1:10" ht="18">
      <c r="A77" s="42"/>
      <c r="B77" s="42"/>
      <c r="C77" s="42"/>
      <c r="D77" s="42"/>
      <c r="E77" s="42"/>
      <c r="F77" s="42"/>
      <c r="G77" s="42"/>
      <c r="H77" s="42"/>
      <c r="I77" s="42"/>
      <c r="J77" s="42"/>
    </row>
    <row r="78" spans="1:10" ht="18">
      <c r="A78" s="42"/>
      <c r="B78" s="42"/>
      <c r="C78" s="42"/>
      <c r="D78" s="42"/>
      <c r="E78" s="42"/>
      <c r="F78" s="42"/>
      <c r="G78" s="42"/>
      <c r="H78" s="42"/>
      <c r="I78" s="42"/>
      <c r="J78" s="42"/>
    </row>
    <row r="79" spans="1:10" ht="18">
      <c r="A79" s="42"/>
      <c r="B79" s="42"/>
      <c r="C79" s="42"/>
      <c r="D79" s="42"/>
      <c r="E79" s="42"/>
      <c r="F79" s="42"/>
      <c r="G79" s="42"/>
      <c r="H79" s="42"/>
      <c r="I79" s="42"/>
      <c r="J79" s="42"/>
    </row>
    <row r="80" spans="1:10" ht="18">
      <c r="A80" s="42"/>
      <c r="B80" s="42"/>
      <c r="C80" s="42"/>
      <c r="D80" s="42"/>
      <c r="E80" s="42"/>
      <c r="F80" s="42"/>
      <c r="G80" s="42"/>
      <c r="H80" s="42"/>
      <c r="I80" s="42"/>
      <c r="J80" s="42"/>
    </row>
    <row r="81" spans="1:10" ht="18">
      <c r="A81" s="42"/>
      <c r="B81" s="42"/>
      <c r="C81" s="42"/>
      <c r="D81" s="42"/>
      <c r="E81" s="42"/>
      <c r="F81" s="42"/>
      <c r="G81" s="42"/>
      <c r="H81" s="42"/>
      <c r="I81" s="42"/>
      <c r="J81" s="42"/>
    </row>
    <row r="82" spans="1:10" ht="18">
      <c r="A82" s="42"/>
      <c r="B82" s="42"/>
      <c r="C82" s="42"/>
      <c r="D82" s="42"/>
      <c r="E82" s="42"/>
      <c r="F82" s="42"/>
      <c r="G82" s="42"/>
      <c r="H82" s="42"/>
      <c r="I82" s="42"/>
      <c r="J82" s="42"/>
    </row>
    <row r="83" spans="1:10" ht="18">
      <c r="A83" s="42"/>
      <c r="B83" s="42"/>
      <c r="C83" s="42"/>
      <c r="D83" s="42"/>
      <c r="E83" s="42"/>
      <c r="F83" s="42"/>
      <c r="G83" s="42"/>
      <c r="H83" s="42"/>
      <c r="I83" s="42"/>
      <c r="J83" s="42"/>
    </row>
    <row r="84" spans="1:10" ht="18">
      <c r="A84" s="42"/>
      <c r="B84" s="42"/>
      <c r="C84" s="42"/>
      <c r="D84" s="42"/>
      <c r="E84" s="42"/>
      <c r="F84" s="42"/>
      <c r="G84" s="42"/>
      <c r="H84" s="42"/>
      <c r="I84" s="42"/>
      <c r="J84" s="42"/>
    </row>
    <row r="85" spans="1:10" ht="18">
      <c r="A85" s="42"/>
      <c r="B85" s="42"/>
      <c r="C85" s="42"/>
      <c r="D85" s="42"/>
      <c r="E85" s="42"/>
      <c r="F85" s="42"/>
      <c r="G85" s="42"/>
      <c r="H85" s="42"/>
      <c r="I85" s="42"/>
      <c r="J85" s="42"/>
    </row>
    <row r="86" spans="1:10" ht="18">
      <c r="A86" s="42"/>
      <c r="B86" s="42"/>
      <c r="C86" s="42"/>
      <c r="D86" s="42"/>
      <c r="E86" s="42"/>
      <c r="F86" s="42"/>
      <c r="G86" s="42"/>
      <c r="H86" s="42"/>
      <c r="I86" s="42"/>
      <c r="J86" s="42"/>
    </row>
    <row r="87" spans="1:10" ht="18">
      <c r="A87" s="42"/>
      <c r="B87" s="42"/>
      <c r="C87" s="42"/>
      <c r="D87" s="42"/>
      <c r="E87" s="42"/>
      <c r="F87" s="42"/>
      <c r="G87" s="42"/>
      <c r="H87" s="42"/>
      <c r="I87" s="42"/>
      <c r="J87" s="42"/>
    </row>
    <row r="88" spans="1:10" ht="18">
      <c r="A88" s="42"/>
      <c r="B88" s="42"/>
      <c r="C88" s="42"/>
      <c r="D88" s="42"/>
      <c r="E88" s="42"/>
      <c r="F88" s="42"/>
      <c r="G88" s="42"/>
      <c r="H88" s="42"/>
      <c r="I88" s="42"/>
      <c r="J88" s="42"/>
    </row>
    <row r="89" spans="1:10" ht="18">
      <c r="A89" s="42"/>
      <c r="B89" s="42"/>
      <c r="C89" s="42"/>
      <c r="D89" s="42"/>
      <c r="E89" s="42"/>
      <c r="F89" s="42"/>
      <c r="G89" s="42"/>
      <c r="H89" s="42"/>
      <c r="I89" s="42"/>
      <c r="J89" s="42"/>
    </row>
    <row r="90" spans="1:10" ht="18">
      <c r="A90" s="42"/>
      <c r="B90" s="42"/>
      <c r="C90" s="42"/>
      <c r="D90" s="42"/>
      <c r="E90" s="42"/>
      <c r="F90" s="42"/>
      <c r="G90" s="42"/>
      <c r="H90" s="42"/>
      <c r="I90" s="42"/>
      <c r="J90" s="42"/>
    </row>
    <row r="91" spans="1:10" ht="18">
      <c r="A91" s="42"/>
      <c r="B91" s="42"/>
      <c r="C91" s="42"/>
      <c r="D91" s="42"/>
      <c r="E91" s="42"/>
      <c r="F91" s="42"/>
      <c r="G91" s="42"/>
      <c r="H91" s="42"/>
      <c r="I91" s="42"/>
      <c r="J91" s="42"/>
    </row>
    <row r="92" spans="1:10" ht="18">
      <c r="A92" s="42"/>
      <c r="B92" s="42"/>
      <c r="C92" s="42"/>
      <c r="D92" s="42"/>
      <c r="E92" s="42"/>
      <c r="F92" s="42"/>
      <c r="G92" s="42"/>
      <c r="H92" s="42"/>
      <c r="I92" s="42"/>
      <c r="J92" s="42"/>
    </row>
    <row r="93" spans="1:10" ht="18">
      <c r="A93" s="42"/>
      <c r="B93" s="42"/>
      <c r="C93" s="42"/>
      <c r="D93" s="42"/>
      <c r="E93" s="42"/>
      <c r="F93" s="42"/>
      <c r="G93" s="42"/>
      <c r="H93" s="42"/>
      <c r="I93" s="42"/>
      <c r="J93" s="42"/>
    </row>
    <row r="94" spans="1:10" ht="18">
      <c r="A94" s="42"/>
      <c r="B94" s="42"/>
      <c r="C94" s="42"/>
      <c r="D94" s="42"/>
      <c r="E94" s="42"/>
      <c r="F94" s="42"/>
      <c r="G94" s="42"/>
      <c r="H94" s="42"/>
      <c r="I94" s="42"/>
      <c r="J94" s="42"/>
    </row>
    <row r="95" spans="1:10" ht="18">
      <c r="A95" s="42"/>
      <c r="B95" s="42"/>
      <c r="C95" s="42"/>
      <c r="D95" s="42"/>
      <c r="E95" s="42"/>
      <c r="F95" s="42"/>
      <c r="G95" s="42"/>
      <c r="H95" s="42"/>
      <c r="I95" s="42"/>
      <c r="J95" s="42"/>
    </row>
  </sheetData>
  <sheetProtection password="CD86" sheet="1" objects="1" scenarios="1"/>
  <mergeCells count="6">
    <mergeCell ref="A9:E9"/>
    <mergeCell ref="F4:J4"/>
    <mergeCell ref="A4:E5"/>
    <mergeCell ref="A7:E7"/>
    <mergeCell ref="A8:E8"/>
    <mergeCell ref="A6:E6"/>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AQ136"/>
  <sheetViews>
    <sheetView showGridLines="0" zoomScale="90" zoomScaleNormal="90" zoomScalePageLayoutView="90" workbookViewId="0"/>
  </sheetViews>
  <sheetFormatPr baseColWidth="10" defaultRowHeight="14" x14ac:dyDescent="0"/>
  <cols>
    <col min="1" max="1" width="56" style="45" bestFit="1" customWidth="1"/>
    <col min="2" max="2" width="20.5" style="45" customWidth="1"/>
    <col min="3" max="3" width="18.33203125" style="45" customWidth="1"/>
    <col min="4" max="4" width="14.33203125" style="45" bestFit="1" customWidth="1"/>
    <col min="5" max="5" width="19.33203125" style="45" customWidth="1"/>
    <col min="6" max="7" width="21" style="45" bestFit="1" customWidth="1"/>
    <col min="8" max="8" width="23.1640625" style="45" bestFit="1" customWidth="1"/>
    <col min="9" max="9" width="18.5" style="56" customWidth="1"/>
    <col min="10" max="10" width="17.5" style="45" customWidth="1"/>
    <col min="11" max="11" width="17.5" style="45" bestFit="1" customWidth="1"/>
    <col min="12" max="17" width="13.83203125" style="45" bestFit="1" customWidth="1"/>
    <col min="18" max="41" width="12.33203125" style="45" bestFit="1" customWidth="1"/>
    <col min="42" max="43" width="11.5" style="45" bestFit="1" customWidth="1"/>
    <col min="44" max="16384" width="10.83203125" style="45"/>
  </cols>
  <sheetData>
    <row r="1" spans="1:14">
      <c r="A1" s="160" t="s">
        <v>21</v>
      </c>
      <c r="B1" s="161"/>
      <c r="C1" s="161"/>
      <c r="D1" s="161"/>
      <c r="E1" s="161"/>
      <c r="F1" s="161"/>
      <c r="G1" s="161"/>
      <c r="H1" s="161"/>
      <c r="I1" s="160"/>
      <c r="J1" s="162"/>
      <c r="K1" s="163"/>
      <c r="L1" s="163"/>
      <c r="M1" s="163"/>
      <c r="N1" s="163"/>
    </row>
    <row r="2" spans="1:14">
      <c r="A2" s="164" t="s">
        <v>65</v>
      </c>
      <c r="B2" s="161"/>
      <c r="C2" s="161"/>
      <c r="D2" s="161"/>
      <c r="E2" s="161"/>
      <c r="F2" s="161"/>
      <c r="G2" s="161"/>
      <c r="H2" s="161"/>
      <c r="I2" s="160"/>
      <c r="J2" s="160"/>
      <c r="K2" s="163"/>
      <c r="L2" s="163"/>
      <c r="M2" s="163"/>
      <c r="N2" s="163"/>
    </row>
    <row r="3" spans="1:14">
      <c r="A3" s="165"/>
      <c r="B3" s="165"/>
      <c r="C3" s="165"/>
      <c r="D3" s="165"/>
      <c r="E3" s="165"/>
      <c r="F3" s="165"/>
      <c r="G3" s="165"/>
      <c r="H3" s="166"/>
      <c r="I3" s="165"/>
      <c r="J3" s="167"/>
      <c r="K3" s="168"/>
      <c r="L3" s="163"/>
      <c r="M3" s="163"/>
      <c r="N3" s="163"/>
    </row>
    <row r="4" spans="1:14" ht="14.5" customHeight="1">
      <c r="A4" s="169"/>
      <c r="B4" s="165"/>
      <c r="C4" s="165"/>
      <c r="D4" s="165"/>
      <c r="E4" s="165"/>
      <c r="F4" s="165"/>
      <c r="G4" s="165"/>
      <c r="H4" s="165"/>
      <c r="I4" s="165"/>
      <c r="J4" s="170"/>
      <c r="K4" s="168"/>
      <c r="L4" s="171"/>
      <c r="M4" s="163"/>
      <c r="N4" s="163"/>
    </row>
    <row r="5" spans="1:14" ht="14.5" customHeight="1">
      <c r="A5" s="169"/>
      <c r="B5" s="165"/>
      <c r="C5" s="165"/>
      <c r="D5" s="165"/>
      <c r="E5" s="165"/>
      <c r="F5" s="165"/>
      <c r="G5" s="165"/>
      <c r="H5" s="165"/>
      <c r="I5" s="165"/>
      <c r="J5" s="170"/>
      <c r="K5" s="168"/>
      <c r="L5" s="171"/>
      <c r="M5" s="163"/>
      <c r="N5" s="163"/>
    </row>
    <row r="6" spans="1:14" ht="14.5" customHeight="1" thickBot="1">
      <c r="A6" s="172" t="s">
        <v>185</v>
      </c>
      <c r="B6" s="165"/>
      <c r="C6" s="165"/>
      <c r="D6" s="165"/>
      <c r="E6" s="165">
        <f>2*B10</f>
        <v>127.54</v>
      </c>
      <c r="F6" s="165">
        <f>3*B10</f>
        <v>191.31</v>
      </c>
      <c r="G6" s="165">
        <f>5*B10</f>
        <v>318.85000000000002</v>
      </c>
      <c r="H6" s="165">
        <f>25*B10</f>
        <v>1594.25</v>
      </c>
      <c r="I6" s="165"/>
      <c r="J6" s="170"/>
      <c r="K6" s="168"/>
      <c r="L6" s="171"/>
      <c r="M6" s="163"/>
      <c r="N6" s="163"/>
    </row>
    <row r="7" spans="1:14" ht="14.5" customHeight="1">
      <c r="A7" s="746" t="s">
        <v>92</v>
      </c>
      <c r="B7" s="752" t="s">
        <v>162</v>
      </c>
      <c r="C7" s="752" t="s">
        <v>84</v>
      </c>
      <c r="D7" s="749" t="s">
        <v>5</v>
      </c>
      <c r="E7" s="750"/>
      <c r="F7" s="750"/>
      <c r="G7" s="750"/>
      <c r="H7" s="751"/>
      <c r="I7" s="752" t="s">
        <v>84</v>
      </c>
      <c r="J7" s="755"/>
      <c r="K7" s="163"/>
      <c r="L7" s="757"/>
      <c r="M7" s="163"/>
      <c r="N7" s="163"/>
    </row>
    <row r="8" spans="1:14" ht="29" thickBot="1">
      <c r="A8" s="747"/>
      <c r="B8" s="758"/>
      <c r="C8" s="758"/>
      <c r="D8" s="173" t="s">
        <v>6</v>
      </c>
      <c r="E8" s="174" t="s">
        <v>7</v>
      </c>
      <c r="F8" s="174" t="s">
        <v>8</v>
      </c>
      <c r="G8" s="174" t="s">
        <v>9</v>
      </c>
      <c r="H8" s="174" t="s">
        <v>258</v>
      </c>
      <c r="I8" s="753" t="s">
        <v>84</v>
      </c>
      <c r="J8" s="756" t="s">
        <v>12</v>
      </c>
      <c r="K8" s="163"/>
      <c r="L8" s="757"/>
      <c r="M8" s="163"/>
      <c r="N8" s="163"/>
    </row>
    <row r="9" spans="1:14" ht="15" thickBot="1">
      <c r="A9" s="747"/>
      <c r="B9" s="758"/>
      <c r="C9" s="758"/>
      <c r="D9" s="175">
        <f>B10</f>
        <v>63.77</v>
      </c>
      <c r="E9" s="176" t="s">
        <v>332</v>
      </c>
      <c r="F9" s="176" t="s">
        <v>333</v>
      </c>
      <c r="G9" s="176" t="s">
        <v>334</v>
      </c>
      <c r="H9" s="176" t="s">
        <v>335</v>
      </c>
      <c r="I9" s="177" t="s">
        <v>85</v>
      </c>
      <c r="J9" s="178"/>
      <c r="K9" s="163"/>
      <c r="L9" s="179"/>
      <c r="M9" s="163"/>
      <c r="N9" s="163"/>
    </row>
    <row r="10" spans="1:14">
      <c r="A10" s="180" t="s">
        <v>22</v>
      </c>
      <c r="B10" s="181">
        <v>63.77</v>
      </c>
      <c r="C10" s="182" t="s">
        <v>85</v>
      </c>
      <c r="D10" s="183">
        <v>1</v>
      </c>
      <c r="E10" s="184">
        <v>2</v>
      </c>
      <c r="F10" s="184">
        <v>3</v>
      </c>
      <c r="G10" s="184">
        <v>5</v>
      </c>
      <c r="H10" s="184">
        <v>25</v>
      </c>
      <c r="I10" s="185" t="s">
        <v>86</v>
      </c>
      <c r="J10" s="186">
        <f>H22*67*30</f>
        <v>209011101.51737782</v>
      </c>
      <c r="K10" s="163"/>
      <c r="L10" s="187"/>
      <c r="M10" s="163"/>
      <c r="N10" s="163"/>
    </row>
    <row r="11" spans="1:14">
      <c r="A11" s="188" t="s">
        <v>168</v>
      </c>
      <c r="B11" s="189"/>
      <c r="C11" s="190"/>
      <c r="D11" s="191">
        <f>D10*$B$10</f>
        <v>63.77</v>
      </c>
      <c r="E11" s="192">
        <f>E10*$B$10</f>
        <v>127.54</v>
      </c>
      <c r="F11" s="192">
        <f>F10*$B$10</f>
        <v>191.31</v>
      </c>
      <c r="G11" s="192">
        <f>G10*$B$10</f>
        <v>318.85000000000002</v>
      </c>
      <c r="H11" s="193">
        <f>H10*$B$10</f>
        <v>1594.25</v>
      </c>
      <c r="I11" s="48" t="s">
        <v>95</v>
      </c>
      <c r="J11" s="186"/>
      <c r="K11" s="163"/>
      <c r="L11" s="187"/>
      <c r="M11" s="163"/>
      <c r="N11" s="163"/>
    </row>
    <row r="12" spans="1:14">
      <c r="A12" s="194" t="s">
        <v>29</v>
      </c>
      <c r="B12" s="195">
        <v>0.27883463523456381</v>
      </c>
      <c r="C12" s="190"/>
      <c r="D12" s="196"/>
      <c r="E12" s="196"/>
      <c r="F12" s="196"/>
      <c r="G12" s="196"/>
      <c r="H12" s="196"/>
      <c r="I12" s="197"/>
      <c r="J12" s="198">
        <f>H13*30</f>
        <v>18512.860293338035</v>
      </c>
      <c r="K12" s="163" t="s">
        <v>148</v>
      </c>
      <c r="L12" s="187"/>
      <c r="M12" s="163"/>
      <c r="N12" s="163"/>
    </row>
    <row r="13" spans="1:14">
      <c r="A13" s="188" t="s">
        <v>165</v>
      </c>
      <c r="B13" s="199"/>
      <c r="C13" s="190"/>
      <c r="D13" s="191">
        <f>B10</f>
        <v>63.77</v>
      </c>
      <c r="E13" s="192">
        <f>B65</f>
        <v>78.682267155563409</v>
      </c>
      <c r="F13" s="192">
        <f>B87</f>
        <v>142.45226715556342</v>
      </c>
      <c r="G13" s="192">
        <f>B109</f>
        <v>222.76845465496802</v>
      </c>
      <c r="H13" s="193">
        <f>B132</f>
        <v>617.09534311126788</v>
      </c>
      <c r="I13" s="48" t="s">
        <v>95</v>
      </c>
      <c r="J13" s="200">
        <f>5*67*30</f>
        <v>10050</v>
      </c>
      <c r="K13" s="163"/>
      <c r="L13" s="187"/>
      <c r="M13" s="163"/>
      <c r="N13" s="163"/>
    </row>
    <row r="14" spans="1:14">
      <c r="A14" s="201" t="s">
        <v>166</v>
      </c>
      <c r="B14" s="202">
        <f>'Principal T'!J5</f>
        <v>85</v>
      </c>
      <c r="C14" s="203" t="s">
        <v>85</v>
      </c>
      <c r="D14" s="204"/>
      <c r="E14" s="204"/>
      <c r="F14" s="204"/>
      <c r="G14" s="204"/>
      <c r="H14" s="205"/>
      <c r="I14" s="206"/>
      <c r="J14" s="186"/>
      <c r="K14" s="163"/>
      <c r="L14" s="187"/>
      <c r="M14" s="163"/>
      <c r="N14" s="163"/>
    </row>
    <row r="15" spans="1:14">
      <c r="A15" s="207" t="s">
        <v>259</v>
      </c>
      <c r="B15" s="208">
        <f>(B14/B10)-1</f>
        <v>0.3329151638701584</v>
      </c>
      <c r="C15" s="203"/>
      <c r="D15" s="204"/>
      <c r="E15" s="204"/>
      <c r="F15" s="204"/>
      <c r="G15" s="204"/>
      <c r="H15" s="205"/>
      <c r="I15" s="206"/>
      <c r="J15" s="186"/>
      <c r="K15" s="163"/>
      <c r="L15" s="187"/>
      <c r="M15" s="163"/>
      <c r="N15" s="163"/>
    </row>
    <row r="16" spans="1:14">
      <c r="A16" s="207" t="s">
        <v>170</v>
      </c>
      <c r="B16" s="202"/>
      <c r="C16" s="203"/>
      <c r="D16" s="209">
        <f>B14</f>
        <v>85</v>
      </c>
      <c r="E16" s="210">
        <f>IF(E11&gt;B14,E11,B14)</f>
        <v>127.54</v>
      </c>
      <c r="F16" s="211" t="s">
        <v>353</v>
      </c>
      <c r="G16" s="210">
        <f>IF(G11&gt;B14,G11,B14)</f>
        <v>318.85000000000002</v>
      </c>
      <c r="H16" s="212">
        <f>IF(H11&gt;B14,H11,B14)</f>
        <v>1594.25</v>
      </c>
      <c r="I16" s="206" t="s">
        <v>95</v>
      </c>
      <c r="J16" s="186"/>
      <c r="K16" s="163"/>
      <c r="L16" s="187"/>
      <c r="M16" s="163"/>
      <c r="N16" s="163"/>
    </row>
    <row r="17" spans="1:14" ht="15" thickBot="1">
      <c r="A17" s="213" t="s">
        <v>167</v>
      </c>
      <c r="B17" s="214">
        <f>(B27*1000000)/B22</f>
        <v>113.98063763517786</v>
      </c>
      <c r="C17" s="215"/>
      <c r="D17" s="216">
        <f>D16</f>
        <v>85</v>
      </c>
      <c r="E17" s="217">
        <f>B68</f>
        <v>89.888796197431589</v>
      </c>
      <c r="F17" s="217">
        <f>B90</f>
        <v>142.45226715556342</v>
      </c>
      <c r="G17" s="217">
        <f>B112</f>
        <v>222.76845465496802</v>
      </c>
      <c r="H17" s="218">
        <f>B135</f>
        <v>617.09534311126788</v>
      </c>
      <c r="I17" s="219" t="s">
        <v>95</v>
      </c>
      <c r="J17" s="165"/>
      <c r="K17" s="163"/>
      <c r="L17" s="220"/>
      <c r="M17" s="163"/>
      <c r="N17" s="163"/>
    </row>
    <row r="18" spans="1:14" s="46" customFormat="1">
      <c r="A18" s="165"/>
      <c r="B18" s="221"/>
      <c r="C18" s="221"/>
      <c r="D18" s="222"/>
      <c r="E18" s="222"/>
      <c r="F18" s="222"/>
      <c r="G18" s="222"/>
      <c r="H18" s="222"/>
      <c r="I18" s="165"/>
      <c r="J18" s="168"/>
      <c r="K18" s="168"/>
      <c r="L18" s="223"/>
      <c r="M18" s="168"/>
      <c r="N18" s="168"/>
    </row>
    <row r="19" spans="1:14" s="46" customFormat="1" ht="15" thickBot="1">
      <c r="A19" s="172" t="s">
        <v>184</v>
      </c>
      <c r="B19" s="221"/>
      <c r="C19" s="221"/>
      <c r="D19" s="224"/>
      <c r="E19" s="224"/>
      <c r="F19" s="224"/>
      <c r="G19" s="224"/>
      <c r="H19" s="224"/>
      <c r="I19" s="225"/>
      <c r="J19" s="226"/>
      <c r="K19" s="168"/>
      <c r="L19" s="223"/>
      <c r="M19" s="168"/>
      <c r="N19" s="168"/>
    </row>
    <row r="20" spans="1:14">
      <c r="A20" s="759" t="s">
        <v>161</v>
      </c>
      <c r="B20" s="752" t="s">
        <v>162</v>
      </c>
      <c r="C20" s="752" t="s">
        <v>84</v>
      </c>
      <c r="D20" s="749" t="s">
        <v>5</v>
      </c>
      <c r="E20" s="750"/>
      <c r="F20" s="750"/>
      <c r="G20" s="750"/>
      <c r="H20" s="750"/>
      <c r="I20" s="752" t="s">
        <v>84</v>
      </c>
      <c r="J20" s="227"/>
      <c r="K20" s="163"/>
      <c r="L20" s="166"/>
      <c r="M20" s="163"/>
      <c r="N20" s="163"/>
    </row>
    <row r="21" spans="1:14" ht="29" thickBot="1">
      <c r="A21" s="760"/>
      <c r="B21" s="753"/>
      <c r="C21" s="753"/>
      <c r="D21" s="173" t="s">
        <v>6</v>
      </c>
      <c r="E21" s="174" t="s">
        <v>7</v>
      </c>
      <c r="F21" s="174" t="s">
        <v>8</v>
      </c>
      <c r="G21" s="174" t="s">
        <v>9</v>
      </c>
      <c r="H21" s="174" t="s">
        <v>258</v>
      </c>
      <c r="I21" s="753"/>
      <c r="J21" s="228"/>
      <c r="K21" s="163"/>
      <c r="L21" s="166"/>
      <c r="M21" s="163"/>
      <c r="N21" s="163"/>
    </row>
    <row r="22" spans="1:14">
      <c r="A22" s="229" t="s">
        <v>173</v>
      </c>
      <c r="B22" s="230">
        <f>SUM(D22:H22)</f>
        <v>4777592.0000000009</v>
      </c>
      <c r="C22" s="185" t="s">
        <v>86</v>
      </c>
      <c r="D22" s="231">
        <f>'[1]Agropecuario H'!D22+'[1]Agropecuario M'!D22</f>
        <v>1892278.8602808495</v>
      </c>
      <c r="E22" s="232">
        <f>'[1]Agropecuario H'!E22+'[1]Agropecuario M'!E22</f>
        <v>1801424.9342547704</v>
      </c>
      <c r="F22" s="232">
        <f>'[1]Agropecuario H'!F22+'[1]Agropecuario M'!F22</f>
        <v>755502.33202762622</v>
      </c>
      <c r="G22" s="232">
        <f>'[1]Agropecuario H'!G22+'[1]Agropecuario M'!G22</f>
        <v>224400.25079129223</v>
      </c>
      <c r="H22" s="232">
        <f>'[1]Agropecuario H'!H22+'[1]Agropecuario M'!H22</f>
        <v>103985.6226454616</v>
      </c>
      <c r="I22" s="185" t="s">
        <v>86</v>
      </c>
      <c r="J22" s="163"/>
      <c r="K22" s="163"/>
      <c r="L22" s="171"/>
      <c r="M22" s="163"/>
      <c r="N22" s="163"/>
    </row>
    <row r="23" spans="1:14">
      <c r="A23" s="194" t="s">
        <v>345</v>
      </c>
      <c r="B23" s="233">
        <f>SUM(D23:H23)/1000000</f>
        <v>484.19218147449089</v>
      </c>
      <c r="C23" s="48" t="s">
        <v>344</v>
      </c>
      <c r="D23" s="231">
        <f>D22*B10</f>
        <v>120670622.92010978</v>
      </c>
      <c r="E23" s="232">
        <f>G62</f>
        <v>141740197.93772709</v>
      </c>
      <c r="F23" s="232">
        <f>G84</f>
        <v>107623020.03865059</v>
      </c>
      <c r="G23" s="232">
        <f>G106</f>
        <v>49989297.092963435</v>
      </c>
      <c r="H23" s="232">
        <f>G129</f>
        <v>64169043.485039949</v>
      </c>
      <c r="I23" s="234" t="s">
        <v>246</v>
      </c>
      <c r="J23" s="163"/>
      <c r="K23" s="163"/>
      <c r="L23" s="171"/>
      <c r="M23" s="163"/>
      <c r="N23" s="163"/>
    </row>
    <row r="24" spans="1:14">
      <c r="A24" s="194" t="s">
        <v>23</v>
      </c>
      <c r="B24" s="235"/>
      <c r="C24" s="48"/>
      <c r="D24" s="231"/>
      <c r="E24" s="232"/>
      <c r="F24" s="232"/>
      <c r="G24" s="232"/>
      <c r="H24" s="232"/>
      <c r="I24" s="236"/>
      <c r="J24" s="163"/>
      <c r="K24" s="163"/>
      <c r="L24" s="171"/>
      <c r="M24" s="163"/>
      <c r="N24" s="163"/>
    </row>
    <row r="25" spans="1:14">
      <c r="A25" s="237" t="s">
        <v>24</v>
      </c>
      <c r="B25" s="238">
        <f>SUM(D25:H25)</f>
        <v>3179993.0029688268</v>
      </c>
      <c r="C25" s="48" t="s">
        <v>86</v>
      </c>
      <c r="D25" s="231">
        <f>D22</f>
        <v>1892278.8602808495</v>
      </c>
      <c r="E25" s="232">
        <f>L62</f>
        <v>1287714.1426879773</v>
      </c>
      <c r="F25" s="232">
        <f>L84</f>
        <v>0</v>
      </c>
      <c r="G25" s="232">
        <f>L106</f>
        <v>0</v>
      </c>
      <c r="H25" s="232">
        <f>L129</f>
        <v>0</v>
      </c>
      <c r="I25" s="48" t="s">
        <v>86</v>
      </c>
      <c r="J25" s="163"/>
      <c r="K25" s="163"/>
      <c r="L25" s="171"/>
      <c r="M25" s="163"/>
      <c r="N25" s="163"/>
    </row>
    <row r="26" spans="1:14">
      <c r="A26" s="237" t="s">
        <v>25</v>
      </c>
      <c r="B26" s="238">
        <f>SUM(D26:H26)</f>
        <v>1597598.9970311732</v>
      </c>
      <c r="C26" s="48" t="s">
        <v>86</v>
      </c>
      <c r="D26" s="231"/>
      <c r="E26" s="232">
        <f>E22-E25</f>
        <v>513710.79156679311</v>
      </c>
      <c r="F26" s="232">
        <f>F22-F25</f>
        <v>755502.33202762622</v>
      </c>
      <c r="G26" s="232">
        <f>G22</f>
        <v>224400.25079129223</v>
      </c>
      <c r="H26" s="232">
        <f>H22</f>
        <v>103985.6226454616</v>
      </c>
      <c r="I26" s="48" t="s">
        <v>86</v>
      </c>
      <c r="J26" s="163"/>
      <c r="K26" s="163"/>
      <c r="L26" s="171"/>
      <c r="M26" s="163"/>
      <c r="N26" s="163"/>
    </row>
    <row r="27" spans="1:14" ht="15" thickBot="1">
      <c r="A27" s="239" t="s">
        <v>346</v>
      </c>
      <c r="B27" s="240">
        <f>SUM(D27:H27)/1000000</f>
        <v>544.55298252072475</v>
      </c>
      <c r="C27" s="50" t="s">
        <v>87</v>
      </c>
      <c r="D27" s="241">
        <f>D25*D17</f>
        <v>160843703.12387222</v>
      </c>
      <c r="E27" s="242">
        <f>K62</f>
        <v>161927918.78019866</v>
      </c>
      <c r="F27" s="242">
        <f>K84</f>
        <v>107623020.03865059</v>
      </c>
      <c r="G27" s="242">
        <f>K106</f>
        <v>49989297.092963435</v>
      </c>
      <c r="H27" s="242">
        <f>K129</f>
        <v>64169043.485039949</v>
      </c>
      <c r="I27" s="243" t="s">
        <v>90</v>
      </c>
      <c r="J27" s="163"/>
      <c r="K27" s="163"/>
      <c r="L27" s="171"/>
      <c r="M27" s="163"/>
      <c r="N27" s="163"/>
    </row>
    <row r="28" spans="1:14" ht="15" thickBot="1">
      <c r="A28" s="244" t="s">
        <v>245</v>
      </c>
      <c r="B28" s="245">
        <f>((D23*D28)+(E23*E28)+(F23*F28)+(G23*G28)+(H23*H28))/(B23*1000000)</f>
        <v>0.1085402040607216</v>
      </c>
      <c r="C28" s="51"/>
      <c r="D28" s="246">
        <v>6.4000000000000001E-2</v>
      </c>
      <c r="E28" s="246">
        <v>6.4000000000000001E-2</v>
      </c>
      <c r="F28" s="247">
        <v>0.10879999999999999</v>
      </c>
      <c r="G28" s="247">
        <v>0.1792</v>
      </c>
      <c r="H28" s="246">
        <v>0.23519999999999999</v>
      </c>
      <c r="I28" s="248"/>
      <c r="J28" s="163"/>
      <c r="K28" s="163"/>
      <c r="L28" s="163"/>
      <c r="M28" s="163"/>
      <c r="N28" s="163"/>
    </row>
    <row r="29" spans="1:14" ht="15" thickBot="1">
      <c r="A29" s="172" t="s">
        <v>183</v>
      </c>
      <c r="B29" s="249"/>
      <c r="C29" s="51"/>
      <c r="D29" s="250"/>
      <c r="E29" s="250"/>
      <c r="F29" s="250"/>
      <c r="G29" s="250"/>
      <c r="H29" s="250"/>
      <c r="I29" s="248"/>
      <c r="J29" s="163"/>
      <c r="K29" s="163"/>
      <c r="L29" s="163"/>
      <c r="M29" s="163"/>
      <c r="N29" s="163"/>
    </row>
    <row r="30" spans="1:14">
      <c r="A30" s="743" t="s">
        <v>91</v>
      </c>
      <c r="B30" s="744"/>
      <c r="C30" s="745"/>
      <c r="D30" s="163"/>
      <c r="E30" s="754"/>
      <c r="F30" s="754"/>
      <c r="G30" s="754"/>
      <c r="H30" s="250"/>
      <c r="I30" s="248"/>
      <c r="J30" s="251"/>
      <c r="K30" s="163"/>
      <c r="L30" s="163"/>
      <c r="M30" s="163"/>
      <c r="N30" s="163"/>
    </row>
    <row r="31" spans="1:14" ht="15" thickBot="1">
      <c r="A31" s="252" t="s">
        <v>92</v>
      </c>
      <c r="B31" s="253" t="s">
        <v>93</v>
      </c>
      <c r="C31" s="254" t="s">
        <v>94</v>
      </c>
      <c r="D31" s="251"/>
      <c r="E31" s="255"/>
      <c r="F31" s="255"/>
      <c r="G31" s="255"/>
      <c r="H31" s="250"/>
      <c r="I31" s="251"/>
      <c r="J31" s="251"/>
      <c r="K31" s="163"/>
      <c r="L31" s="163"/>
      <c r="M31" s="163"/>
      <c r="N31" s="163"/>
    </row>
    <row r="32" spans="1:14">
      <c r="A32" s="229" t="s">
        <v>252</v>
      </c>
      <c r="B32" s="256">
        <f>B27-B23</f>
        <v>60.36080104623386</v>
      </c>
      <c r="C32" s="158" t="s">
        <v>87</v>
      </c>
      <c r="D32" s="250"/>
      <c r="E32" s="250"/>
      <c r="F32" s="250"/>
      <c r="G32" s="250"/>
      <c r="H32" s="250"/>
      <c r="I32" s="250"/>
      <c r="J32" s="250"/>
      <c r="K32" s="163"/>
      <c r="L32" s="163"/>
      <c r="M32" s="163"/>
      <c r="N32" s="163"/>
    </row>
    <row r="33" spans="1:43">
      <c r="A33" s="257" t="s">
        <v>251</v>
      </c>
      <c r="B33" s="258">
        <f>B32*150</f>
        <v>9054.1201569350796</v>
      </c>
      <c r="C33" s="52" t="s">
        <v>87</v>
      </c>
      <c r="D33" s="250"/>
      <c r="E33" s="259"/>
      <c r="F33" s="260"/>
      <c r="G33" s="51"/>
      <c r="H33" s="250"/>
      <c r="I33" s="250"/>
      <c r="J33" s="250"/>
      <c r="K33" s="163"/>
      <c r="L33" s="163"/>
      <c r="M33" s="163"/>
      <c r="N33" s="163"/>
    </row>
    <row r="34" spans="1:43">
      <c r="A34" s="257" t="s">
        <v>253</v>
      </c>
      <c r="B34" s="258">
        <f>B33*(1+B28)</f>
        <v>10036.856206359105</v>
      </c>
      <c r="C34" s="52" t="s">
        <v>87</v>
      </c>
      <c r="D34" s="261"/>
      <c r="E34" s="259"/>
      <c r="F34" s="260"/>
      <c r="G34" s="51"/>
      <c r="H34" s="250"/>
      <c r="I34" s="250"/>
      <c r="J34" s="250"/>
      <c r="K34" s="163"/>
      <c r="L34" s="163"/>
      <c r="M34" s="163"/>
      <c r="N34" s="163"/>
    </row>
    <row r="35" spans="1:43">
      <c r="A35" s="194" t="s">
        <v>247</v>
      </c>
      <c r="B35" s="262">
        <f>'Efecto piramidado '!B11</f>
        <v>1.3106567642136246E-2</v>
      </c>
      <c r="C35" s="52"/>
      <c r="D35" s="263"/>
      <c r="E35" s="223"/>
      <c r="F35" s="264"/>
      <c r="G35" s="51"/>
      <c r="H35" s="250"/>
      <c r="I35" s="250"/>
      <c r="J35" s="250"/>
      <c r="K35" s="163"/>
      <c r="L35" s="163"/>
      <c r="M35" s="163"/>
      <c r="N35" s="163"/>
    </row>
    <row r="36" spans="1:43">
      <c r="A36" s="194" t="s">
        <v>248</v>
      </c>
      <c r="B36" s="262">
        <f>'Efecto piramidado '!B12</f>
        <v>2.4321268543129687E-2</v>
      </c>
      <c r="C36" s="52"/>
      <c r="D36" s="250"/>
      <c r="E36" s="223"/>
      <c r="F36" s="264"/>
      <c r="G36" s="51"/>
      <c r="H36" s="250"/>
      <c r="I36" s="250"/>
      <c r="J36" s="250"/>
      <c r="K36" s="163"/>
      <c r="L36" s="163"/>
      <c r="M36" s="163"/>
      <c r="N36" s="163"/>
    </row>
    <row r="37" spans="1:43">
      <c r="A37" s="194" t="s">
        <v>249</v>
      </c>
      <c r="B37" s="262">
        <f>(B34*1000000)/B38</f>
        <v>0.12465906855252118</v>
      </c>
      <c r="C37" s="52"/>
      <c r="D37" s="250"/>
      <c r="E37" s="265"/>
      <c r="F37" s="264"/>
      <c r="G37" s="51"/>
      <c r="H37" s="250"/>
      <c r="I37" s="250"/>
      <c r="J37" s="250"/>
      <c r="K37" s="163"/>
      <c r="L37" s="163"/>
      <c r="M37" s="163"/>
      <c r="N37" s="163"/>
    </row>
    <row r="38" spans="1:43">
      <c r="A38" s="194" t="s">
        <v>236</v>
      </c>
      <c r="B38" s="266">
        <f>'Valores en precios 2014'!B45*1000000</f>
        <v>80514448911.756409</v>
      </c>
      <c r="C38" s="52" t="s">
        <v>85</v>
      </c>
      <c r="D38" s="250"/>
      <c r="E38" s="267"/>
      <c r="F38" s="268"/>
      <c r="G38" s="51"/>
      <c r="H38" s="250"/>
      <c r="I38" s="250"/>
      <c r="J38" s="250"/>
      <c r="K38" s="163"/>
      <c r="L38" s="163"/>
      <c r="M38" s="163"/>
      <c r="N38" s="163"/>
    </row>
    <row r="39" spans="1:43">
      <c r="A39" s="269" t="s">
        <v>239</v>
      </c>
      <c r="B39" s="270">
        <f>(B38/150/1000000)/(1+B28)</f>
        <v>484.20705967975971</v>
      </c>
      <c r="C39" s="52" t="s">
        <v>87</v>
      </c>
      <c r="D39" s="163"/>
      <c r="E39" s="223"/>
      <c r="F39" s="271"/>
      <c r="G39" s="51"/>
      <c r="H39" s="250"/>
      <c r="I39" s="250"/>
      <c r="J39" s="250"/>
      <c r="K39" s="163"/>
      <c r="L39" s="163"/>
      <c r="M39" s="163"/>
      <c r="N39" s="163"/>
    </row>
    <row r="40" spans="1:43">
      <c r="A40" s="194" t="s">
        <v>157</v>
      </c>
      <c r="B40" s="266">
        <f>B23-B39</f>
        <v>-1.4878205268814781E-2</v>
      </c>
      <c r="C40" s="52" t="s">
        <v>87</v>
      </c>
      <c r="D40" s="250"/>
      <c r="E40" s="259"/>
      <c r="F40" s="171"/>
      <c r="G40" s="51"/>
      <c r="H40" s="250"/>
      <c r="I40" s="250"/>
      <c r="J40" s="250"/>
      <c r="K40" s="163"/>
      <c r="L40" s="163"/>
      <c r="M40" s="163"/>
      <c r="N40" s="163"/>
    </row>
    <row r="41" spans="1:43">
      <c r="A41" s="194" t="s">
        <v>158</v>
      </c>
      <c r="B41" s="272">
        <f>(B23-B39)/B23</f>
        <v>-3.0727892432105746E-5</v>
      </c>
      <c r="C41" s="52"/>
      <c r="D41" s="250"/>
      <c r="E41" s="259"/>
      <c r="F41" s="171"/>
      <c r="G41" s="51"/>
      <c r="H41" s="250"/>
      <c r="I41" s="250"/>
      <c r="J41" s="250"/>
      <c r="K41" s="163"/>
      <c r="L41" s="163"/>
      <c r="M41" s="163"/>
      <c r="N41" s="163"/>
    </row>
    <row r="42" spans="1:43">
      <c r="A42" s="194" t="s">
        <v>347</v>
      </c>
      <c r="B42" s="273">
        <f>($B$27-$B$23)/B14*1000000</f>
        <v>710127.07113216305</v>
      </c>
      <c r="C42" s="52"/>
      <c r="D42" s="250"/>
      <c r="E42" s="223"/>
      <c r="F42" s="274"/>
      <c r="G42" s="51"/>
      <c r="H42" s="250"/>
      <c r="I42" s="250"/>
      <c r="J42" s="250"/>
      <c r="K42" s="163"/>
      <c r="L42" s="275"/>
      <c r="M42" s="275"/>
      <c r="N42" s="275"/>
      <c r="O42" s="3"/>
      <c r="P42" s="3"/>
      <c r="Q42" s="3"/>
      <c r="R42" s="3"/>
      <c r="S42" s="3"/>
      <c r="T42" s="3"/>
      <c r="U42" s="3"/>
    </row>
    <row r="43" spans="1:43">
      <c r="A43" s="194" t="s">
        <v>348</v>
      </c>
      <c r="B43" s="276">
        <f>B42/$B$22</f>
        <v>0.1486370270069447</v>
      </c>
      <c r="C43" s="277"/>
      <c r="D43" s="278"/>
      <c r="E43" s="223"/>
      <c r="F43" s="171"/>
      <c r="G43" s="171"/>
      <c r="H43" s="250"/>
      <c r="I43" s="278"/>
      <c r="J43" s="278"/>
      <c r="K43" s="279"/>
      <c r="L43" s="275"/>
      <c r="M43" s="275"/>
      <c r="N43" s="280"/>
      <c r="O43" s="4"/>
      <c r="P43" s="4"/>
      <c r="Q43" s="4"/>
      <c r="R43" s="4"/>
      <c r="S43" s="4"/>
      <c r="T43" s="4"/>
      <c r="U43" s="3"/>
    </row>
    <row r="44" spans="1:43" s="53" customFormat="1">
      <c r="A44" s="194" t="s">
        <v>349</v>
      </c>
      <c r="B44" s="281">
        <f>($B$27-$B$23)/B17*1000000</f>
        <v>529570.65602170932</v>
      </c>
      <c r="C44" s="277"/>
      <c r="D44" s="278"/>
      <c r="E44" s="223"/>
      <c r="F44" s="171"/>
      <c r="G44" s="171"/>
      <c r="H44" s="250"/>
      <c r="I44" s="278"/>
      <c r="J44" s="278"/>
      <c r="K44" s="279"/>
      <c r="L44" s="171"/>
      <c r="M44" s="171"/>
      <c r="N44" s="171"/>
    </row>
    <row r="45" spans="1:43" s="53" customFormat="1" ht="15" thickBot="1">
      <c r="A45" s="239" t="s">
        <v>348</v>
      </c>
      <c r="B45" s="282">
        <f>B44/$B$22</f>
        <v>0.11084467991860947</v>
      </c>
      <c r="C45" s="283"/>
      <c r="D45" s="171"/>
      <c r="E45" s="223"/>
      <c r="F45" s="171"/>
      <c r="G45" s="171"/>
      <c r="H45" s="250"/>
      <c r="I45" s="171"/>
      <c r="J45" s="171"/>
      <c r="K45" s="171"/>
      <c r="L45" s="284"/>
      <c r="M45" s="284"/>
      <c r="N45" s="28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row>
    <row r="46" spans="1:43">
      <c r="A46" s="163"/>
      <c r="B46" s="227"/>
      <c r="C46" s="163"/>
      <c r="D46" s="168"/>
      <c r="E46" s="171"/>
      <c r="F46" s="171"/>
      <c r="G46" s="171"/>
      <c r="H46" s="171"/>
      <c r="I46" s="168"/>
      <c r="J46" s="168"/>
      <c r="K46" s="168"/>
      <c r="L46" s="168"/>
      <c r="M46" s="168"/>
      <c r="N46" s="168"/>
      <c r="O46" s="46"/>
      <c r="P46" s="46"/>
      <c r="Q46" s="46"/>
      <c r="R46" s="46"/>
      <c r="S46" s="46"/>
      <c r="T46" s="46"/>
      <c r="U46" s="46"/>
      <c r="V46" s="46"/>
      <c r="W46" s="46"/>
    </row>
    <row r="47" spans="1:43">
      <c r="A47" s="172" t="s">
        <v>187</v>
      </c>
      <c r="B47" s="285"/>
      <c r="C47" s="163"/>
      <c r="D47" s="168"/>
      <c r="E47" s="171"/>
      <c r="F47" s="171"/>
      <c r="G47" s="171"/>
      <c r="H47" s="171"/>
      <c r="I47" s="168"/>
      <c r="J47" s="172" t="s">
        <v>186</v>
      </c>
      <c r="K47" s="168"/>
      <c r="L47" s="286"/>
      <c r="M47" s="168"/>
      <c r="N47" s="168"/>
      <c r="O47" s="46"/>
      <c r="P47" s="46"/>
      <c r="Q47" s="46"/>
      <c r="R47" s="46"/>
      <c r="S47" s="46"/>
      <c r="T47" s="46"/>
      <c r="U47" s="46"/>
      <c r="V47" s="46"/>
      <c r="W47" s="46"/>
    </row>
    <row r="48" spans="1:43">
      <c r="A48" s="287" t="s">
        <v>159</v>
      </c>
      <c r="B48" s="163"/>
      <c r="C48" s="163"/>
      <c r="D48" s="168"/>
      <c r="E48" s="288"/>
      <c r="F48" s="289"/>
      <c r="G48" s="290"/>
      <c r="H48" s="748"/>
      <c r="I48" s="748"/>
      <c r="J48" s="748"/>
      <c r="K48" s="748"/>
      <c r="L48" s="748"/>
      <c r="M48" s="748"/>
      <c r="N48" s="748"/>
      <c r="O48" s="46"/>
      <c r="P48" s="46"/>
      <c r="Q48" s="46"/>
      <c r="R48" s="46"/>
      <c r="S48" s="46"/>
      <c r="T48" s="46"/>
      <c r="U48" s="46"/>
      <c r="V48" s="46"/>
      <c r="W48" s="46"/>
    </row>
    <row r="49" spans="1:23">
      <c r="A49" s="163"/>
      <c r="B49" s="163"/>
      <c r="C49" s="163"/>
      <c r="D49" s="168"/>
      <c r="E49" s="168"/>
      <c r="F49" s="168"/>
      <c r="G49" s="168"/>
      <c r="H49" s="168"/>
      <c r="I49" s="168"/>
      <c r="J49" s="168"/>
      <c r="K49" s="168"/>
      <c r="L49" s="168"/>
      <c r="M49" s="168"/>
      <c r="N49" s="168"/>
      <c r="O49" s="46"/>
      <c r="P49" s="46"/>
      <c r="Q49" s="46"/>
      <c r="R49" s="46"/>
      <c r="S49" s="46"/>
      <c r="T49" s="46"/>
      <c r="U49" s="46"/>
      <c r="V49" s="46"/>
      <c r="W49" s="46"/>
    </row>
    <row r="50" spans="1:23">
      <c r="A50" s="291" t="s">
        <v>26</v>
      </c>
      <c r="B50" s="292"/>
      <c r="C50" s="292"/>
      <c r="D50" s="292"/>
      <c r="E50" s="292"/>
      <c r="F50" s="292"/>
      <c r="G50" s="292"/>
      <c r="H50" s="292"/>
      <c r="I50" s="293"/>
      <c r="J50" s="292">
        <f>B14</f>
        <v>85</v>
      </c>
      <c r="K50" s="292"/>
      <c r="L50" s="292"/>
      <c r="M50" s="294"/>
      <c r="N50" s="196"/>
      <c r="O50" s="46"/>
      <c r="P50" s="46"/>
      <c r="Q50" s="16"/>
      <c r="R50" s="46"/>
      <c r="S50" s="46"/>
      <c r="T50" s="46"/>
      <c r="U50" s="46"/>
      <c r="V50" s="46"/>
      <c r="W50" s="46"/>
    </row>
    <row r="51" spans="1:23" ht="28">
      <c r="A51" s="295" t="s">
        <v>27</v>
      </c>
      <c r="B51" s="296" t="s">
        <v>28</v>
      </c>
      <c r="C51" s="296" t="s">
        <v>33</v>
      </c>
      <c r="D51" s="296" t="s">
        <v>36</v>
      </c>
      <c r="E51" s="296" t="s">
        <v>32</v>
      </c>
      <c r="F51" s="296" t="s">
        <v>35</v>
      </c>
      <c r="G51" s="296" t="s">
        <v>34</v>
      </c>
      <c r="H51" s="296" t="s">
        <v>31</v>
      </c>
      <c r="I51" s="297"/>
      <c r="J51" s="295" t="s">
        <v>40</v>
      </c>
      <c r="K51" s="295" t="s">
        <v>41</v>
      </c>
      <c r="L51" s="295" t="s">
        <v>45</v>
      </c>
      <c r="M51" s="298"/>
      <c r="N51" s="299"/>
      <c r="Q51" s="36"/>
      <c r="R51" s="36"/>
    </row>
    <row r="52" spans="1:23">
      <c r="A52" s="292">
        <v>0.1</v>
      </c>
      <c r="B52" s="292">
        <f t="shared" ref="B52:B61" si="0">A52^$B$12</f>
        <v>0.52621759425125025</v>
      </c>
      <c r="C52" s="300">
        <f t="shared" ref="C52:C61" si="1">$B$64*B52</f>
        <v>947941.49512776197</v>
      </c>
      <c r="D52" s="292">
        <f>D13</f>
        <v>63.77</v>
      </c>
      <c r="E52" s="292">
        <f>D52+$D$52*$A$52*$B$66</f>
        <v>70.147000000000006</v>
      </c>
      <c r="F52" s="292">
        <f>AVERAGE(E52,D52)</f>
        <v>66.958500000000001</v>
      </c>
      <c r="G52" s="301">
        <f>H52*F52</f>
        <v>63472740.601512253</v>
      </c>
      <c r="H52" s="302">
        <f>C52</f>
        <v>947941.49512776197</v>
      </c>
      <c r="I52" s="303">
        <f>'[1]Agropecuario H'!H53+'[1]Agropecuario M'!H53</f>
        <v>947941.49512776197</v>
      </c>
      <c r="J52" s="292">
        <f>IF(F52&lt;$J$50,$J$50,F52)</f>
        <v>85</v>
      </c>
      <c r="K52" s="301">
        <f>H52*J52</f>
        <v>80575027.085859761</v>
      </c>
      <c r="L52" s="300">
        <f>IF(J52&gt;F52,H52,0)</f>
        <v>947941.49512776197</v>
      </c>
      <c r="M52" s="298">
        <f>'[1]Agropecuario H'!K53+'[1]Agropecuario M'!K53</f>
        <v>80575027.085859761</v>
      </c>
      <c r="N52" s="299">
        <f>K52-M52</f>
        <v>0</v>
      </c>
      <c r="Q52" s="36"/>
      <c r="R52" s="36"/>
    </row>
    <row r="53" spans="1:23">
      <c r="A53" s="292">
        <f>A52+0.1</f>
        <v>0.2</v>
      </c>
      <c r="B53" s="292">
        <f t="shared" si="0"/>
        <v>0.63841481079663176</v>
      </c>
      <c r="C53" s="300">
        <f t="shared" si="1"/>
        <v>1150056.3585665941</v>
      </c>
      <c r="D53" s="300">
        <f>E52</f>
        <v>70.147000000000006</v>
      </c>
      <c r="E53" s="292">
        <f t="shared" ref="E53:E61" si="2">D53+$D$52*$A$52*$B$66</f>
        <v>76.524000000000001</v>
      </c>
      <c r="F53" s="292">
        <f t="shared" ref="F53:F61" si="3">AVERAGE(E53,E52)</f>
        <v>73.335499999999996</v>
      </c>
      <c r="G53" s="301">
        <f>H53*F53</f>
        <v>14822194.56771847</v>
      </c>
      <c r="H53" s="302">
        <f t="shared" ref="H53:H61" si="4">C53-C52</f>
        <v>202114.86343883211</v>
      </c>
      <c r="I53" s="303">
        <f>'[1]Agropecuario H'!H54+'[1]Agropecuario M'!H54</f>
        <v>202114.86343883222</v>
      </c>
      <c r="J53" s="292">
        <f>IF(F53&lt;$J$50,$J$50,F53)</f>
        <v>85</v>
      </c>
      <c r="K53" s="301">
        <f>H53*J53</f>
        <v>17179763.392300729</v>
      </c>
      <c r="L53" s="300">
        <f>IF(J53&gt;F53,H53,0)</f>
        <v>202114.86343883211</v>
      </c>
      <c r="M53" s="298">
        <f>'[1]Agropecuario H'!K54+'[1]Agropecuario M'!K54</f>
        <v>17179763.39230074</v>
      </c>
      <c r="N53" s="299">
        <f t="shared" ref="N53:N61" si="5">K53-M53</f>
        <v>0</v>
      </c>
      <c r="Q53" s="36"/>
      <c r="R53" s="36"/>
    </row>
    <row r="54" spans="1:23">
      <c r="A54" s="292">
        <f t="shared" ref="A54:A61" si="6">A53+0.1</f>
        <v>0.30000000000000004</v>
      </c>
      <c r="B54" s="292">
        <f t="shared" si="0"/>
        <v>0.71483086427949905</v>
      </c>
      <c r="C54" s="300">
        <f t="shared" si="1"/>
        <v>1287714.1426879773</v>
      </c>
      <c r="D54" s="300">
        <f t="shared" ref="D54:D61" si="7">E53</f>
        <v>76.524000000000001</v>
      </c>
      <c r="E54" s="292">
        <f t="shared" si="2"/>
        <v>82.900999999999996</v>
      </c>
      <c r="F54" s="292">
        <f t="shared" si="3"/>
        <v>79.712500000000006</v>
      </c>
      <c r="G54" s="302">
        <f t="shared" ref="G54:G61" si="8">H54*F54</f>
        <v>10973046.11677576</v>
      </c>
      <c r="H54" s="302">
        <f t="shared" si="4"/>
        <v>137657.78412138321</v>
      </c>
      <c r="I54" s="303">
        <f>'[1]Agropecuario H'!H55+'[1]Agropecuario M'!H55</f>
        <v>137657.78412138316</v>
      </c>
      <c r="J54" s="292">
        <f>IF(F54&lt;$J$50,$J$50,F54)</f>
        <v>85</v>
      </c>
      <c r="K54" s="302">
        <f t="shared" ref="K54:K61" si="9">H54*J54</f>
        <v>11700911.650317574</v>
      </c>
      <c r="L54" s="300">
        <f t="shared" ref="L54:L61" si="10">IF(J54&gt;F54,H54,0)</f>
        <v>137657.78412138321</v>
      </c>
      <c r="M54" s="298">
        <f>'[1]Agropecuario H'!K55+'[1]Agropecuario M'!K55</f>
        <v>11700911.65031757</v>
      </c>
      <c r="N54" s="299">
        <f t="shared" si="5"/>
        <v>0</v>
      </c>
      <c r="Q54" s="36"/>
      <c r="R54" s="36"/>
    </row>
    <row r="55" spans="1:23">
      <c r="A55" s="292">
        <f t="shared" si="6"/>
        <v>0.4</v>
      </c>
      <c r="B55" s="292">
        <f t="shared" si="0"/>
        <v>0.77453409976614584</v>
      </c>
      <c r="C55" s="300">
        <f t="shared" si="1"/>
        <v>1395265.0397493071</v>
      </c>
      <c r="D55" s="300">
        <f t="shared" si="7"/>
        <v>82.900999999999996</v>
      </c>
      <c r="E55" s="292">
        <f t="shared" si="2"/>
        <v>89.277999999999992</v>
      </c>
      <c r="F55" s="292">
        <f t="shared" si="3"/>
        <v>86.089499999999987</v>
      </c>
      <c r="G55" s="302">
        <f t="shared" si="8"/>
        <v>9259002.9525613505</v>
      </c>
      <c r="H55" s="302">
        <f t="shared" si="4"/>
        <v>107550.8970613298</v>
      </c>
      <c r="I55" s="303">
        <f>'[1]Agropecuario H'!H56+'[1]Agropecuario M'!H56</f>
        <v>107550.89706132974</v>
      </c>
      <c r="J55" s="292">
        <f t="shared" ref="J55:J61" si="11">IF(F55&lt;$J$50,$J$50,F55)</f>
        <v>86.089499999999987</v>
      </c>
      <c r="K55" s="302">
        <f>H55*J55</f>
        <v>9259002.9525613505</v>
      </c>
      <c r="L55" s="300">
        <f t="shared" si="10"/>
        <v>0</v>
      </c>
      <c r="M55" s="298">
        <f>'[1]Agropecuario H'!K56+'[1]Agropecuario M'!K56</f>
        <v>9259002.952561345</v>
      </c>
      <c r="N55" s="299">
        <f t="shared" si="5"/>
        <v>0</v>
      </c>
      <c r="Q55" s="36"/>
      <c r="R55" s="36"/>
    </row>
    <row r="56" spans="1:23">
      <c r="A56" s="292">
        <f t="shared" si="6"/>
        <v>0.5</v>
      </c>
      <c r="B56" s="292">
        <f t="shared" si="0"/>
        <v>0.82425655757362726</v>
      </c>
      <c r="C56" s="300">
        <f t="shared" si="1"/>
        <v>1484836.3150361348</v>
      </c>
      <c r="D56" s="300">
        <f t="shared" si="7"/>
        <v>89.277999999999992</v>
      </c>
      <c r="E56" s="292">
        <f t="shared" si="2"/>
        <v>95.654999999999987</v>
      </c>
      <c r="F56" s="292">
        <f t="shared" si="3"/>
        <v>92.466499999999996</v>
      </c>
      <c r="G56" s="302">
        <f t="shared" si="8"/>
        <v>8282342.3263094537</v>
      </c>
      <c r="H56" s="302">
        <f t="shared" si="4"/>
        <v>89571.275286827702</v>
      </c>
      <c r="I56" s="303">
        <f>'[1]Agropecuario H'!H57+'[1]Agropecuario M'!H57</f>
        <v>89571.275286827688</v>
      </c>
      <c r="J56" s="292">
        <f t="shared" si="11"/>
        <v>92.466499999999996</v>
      </c>
      <c r="K56" s="302">
        <f t="shared" si="9"/>
        <v>8282342.3263094537</v>
      </c>
      <c r="L56" s="300">
        <f t="shared" si="10"/>
        <v>0</v>
      </c>
      <c r="M56" s="298">
        <f>'[1]Agropecuario H'!K57+'[1]Agropecuario M'!K57</f>
        <v>8282342.3263094518</v>
      </c>
      <c r="N56" s="299">
        <f t="shared" si="5"/>
        <v>0</v>
      </c>
      <c r="Q56" s="36"/>
      <c r="R56" s="36"/>
    </row>
    <row r="57" spans="1:23">
      <c r="A57" s="292">
        <f t="shared" si="6"/>
        <v>0.6</v>
      </c>
      <c r="B57" s="292">
        <f t="shared" si="0"/>
        <v>0.86724316320121753</v>
      </c>
      <c r="C57" s="300">
        <f t="shared" si="1"/>
        <v>1562273.4582526523</v>
      </c>
      <c r="D57" s="300">
        <f t="shared" si="7"/>
        <v>95.654999999999987</v>
      </c>
      <c r="E57" s="292">
        <f t="shared" si="2"/>
        <v>102.03199999999998</v>
      </c>
      <c r="F57" s="292">
        <f t="shared" si="3"/>
        <v>98.843499999999977</v>
      </c>
      <c r="G57" s="302">
        <f t="shared" si="8"/>
        <v>7654158.2655218476</v>
      </c>
      <c r="H57" s="302">
        <f t="shared" si="4"/>
        <v>77437.143216517521</v>
      </c>
      <c r="I57" s="303">
        <f>'[1]Agropecuario H'!H58+'[1]Agropecuario M'!H58</f>
        <v>77437.143216517623</v>
      </c>
      <c r="J57" s="292">
        <f t="shared" si="11"/>
        <v>98.843499999999977</v>
      </c>
      <c r="K57" s="302">
        <f t="shared" si="9"/>
        <v>7654158.2655218476</v>
      </c>
      <c r="L57" s="300">
        <f t="shared" si="10"/>
        <v>0</v>
      </c>
      <c r="M57" s="298">
        <f>'[1]Agropecuario H'!K58+'[1]Agropecuario M'!K58</f>
        <v>7654158.2655218579</v>
      </c>
      <c r="N57" s="299">
        <f t="shared" si="5"/>
        <v>-1.0244548320770264E-8</v>
      </c>
      <c r="Q57" s="36"/>
      <c r="R57" s="36"/>
    </row>
    <row r="58" spans="1:23">
      <c r="A58" s="292">
        <f t="shared" si="6"/>
        <v>0.7</v>
      </c>
      <c r="B58" s="292">
        <f t="shared" si="0"/>
        <v>0.90533220264621461</v>
      </c>
      <c r="C58" s="300">
        <f t="shared" si="1"/>
        <v>1630888.0036306835</v>
      </c>
      <c r="D58" s="300">
        <f t="shared" si="7"/>
        <v>102.03199999999998</v>
      </c>
      <c r="E58" s="292">
        <f t="shared" si="2"/>
        <v>108.40899999999998</v>
      </c>
      <c r="F58" s="292">
        <f t="shared" si="3"/>
        <v>105.22049999999999</v>
      </c>
      <c r="G58" s="302">
        <f t="shared" si="8"/>
        <v>7219656.771949132</v>
      </c>
      <c r="H58" s="302">
        <f t="shared" si="4"/>
        <v>68614.545378031209</v>
      </c>
      <c r="I58" s="303">
        <f>'[1]Agropecuario H'!H59+'[1]Agropecuario M'!H59</f>
        <v>68614.545378031209</v>
      </c>
      <c r="J58" s="292">
        <f t="shared" si="11"/>
        <v>105.22049999999999</v>
      </c>
      <c r="K58" s="302">
        <f t="shared" si="9"/>
        <v>7219656.771949132</v>
      </c>
      <c r="L58" s="300">
        <f t="shared" si="10"/>
        <v>0</v>
      </c>
      <c r="M58" s="298">
        <f>'[1]Agropecuario H'!K59+'[1]Agropecuario M'!K59</f>
        <v>7219656.771949132</v>
      </c>
      <c r="N58" s="299">
        <f t="shared" si="5"/>
        <v>0</v>
      </c>
      <c r="Q58" s="36"/>
      <c r="R58" s="36"/>
    </row>
    <row r="59" spans="1:23">
      <c r="A59" s="292">
        <f t="shared" si="6"/>
        <v>0.79999999999999993</v>
      </c>
      <c r="B59" s="292">
        <f t="shared" si="0"/>
        <v>0.9396759936568172</v>
      </c>
      <c r="C59" s="300">
        <f t="shared" si="1"/>
        <v>1692755.7650940181</v>
      </c>
      <c r="D59" s="300">
        <f t="shared" si="7"/>
        <v>108.40899999999998</v>
      </c>
      <c r="E59" s="292">
        <f t="shared" si="2"/>
        <v>114.78599999999997</v>
      </c>
      <c r="F59" s="292">
        <f t="shared" si="3"/>
        <v>111.59749999999997</v>
      </c>
      <c r="G59" s="302">
        <f t="shared" si="8"/>
        <v>6904287.5099044759</v>
      </c>
      <c r="H59" s="302">
        <f t="shared" si="4"/>
        <v>61867.761463334551</v>
      </c>
      <c r="I59" s="303">
        <f>'[1]Agropecuario H'!H60+'[1]Agropecuario M'!H60</f>
        <v>61867.761463334406</v>
      </c>
      <c r="J59" s="292">
        <f t="shared" si="11"/>
        <v>111.59749999999997</v>
      </c>
      <c r="K59" s="302">
        <f t="shared" si="9"/>
        <v>6904287.5099044759</v>
      </c>
      <c r="L59" s="300">
        <f t="shared" si="10"/>
        <v>0</v>
      </c>
      <c r="M59" s="298">
        <f>'[1]Agropecuario H'!K60+'[1]Agropecuario M'!K60</f>
        <v>6904287.5099044591</v>
      </c>
      <c r="N59" s="299">
        <f t="shared" si="5"/>
        <v>1.6763806343078613E-8</v>
      </c>
      <c r="Q59" s="36"/>
      <c r="R59" s="36"/>
    </row>
    <row r="60" spans="1:23">
      <c r="A60" s="292">
        <f t="shared" si="6"/>
        <v>0.89999999999999991</v>
      </c>
      <c r="B60" s="292">
        <f t="shared" si="0"/>
        <v>0.9710491821423195</v>
      </c>
      <c r="C60" s="300">
        <f t="shared" si="1"/>
        <v>1749272.2090988765</v>
      </c>
      <c r="D60" s="300">
        <f t="shared" si="7"/>
        <v>114.78599999999997</v>
      </c>
      <c r="E60" s="292">
        <f t="shared" si="2"/>
        <v>121.16299999999997</v>
      </c>
      <c r="F60" s="292">
        <f t="shared" si="3"/>
        <v>117.97449999999998</v>
      </c>
      <c r="G60" s="302">
        <f t="shared" si="8"/>
        <v>6667499.223251164</v>
      </c>
      <c r="H60" s="302">
        <f t="shared" si="4"/>
        <v>56516.444004858378</v>
      </c>
      <c r="I60" s="303">
        <f>'[1]Agropecuario H'!H61+'[1]Agropecuario M'!H61</f>
        <v>56516.444004858524</v>
      </c>
      <c r="J60" s="292">
        <f t="shared" si="11"/>
        <v>117.97449999999998</v>
      </c>
      <c r="K60" s="302">
        <f t="shared" si="9"/>
        <v>6667499.223251164</v>
      </c>
      <c r="L60" s="300">
        <f t="shared" si="10"/>
        <v>0</v>
      </c>
      <c r="M60" s="298">
        <f>'[1]Agropecuario H'!K61+'[1]Agropecuario M'!K61</f>
        <v>6667499.2232511807</v>
      </c>
      <c r="N60" s="299">
        <f t="shared" si="5"/>
        <v>-1.6763806343078613E-8</v>
      </c>
      <c r="T60" s="55"/>
    </row>
    <row r="61" spans="1:23">
      <c r="A61" s="292">
        <f t="shared" si="6"/>
        <v>0.99999999999999989</v>
      </c>
      <c r="B61" s="292">
        <f t="shared" si="0"/>
        <v>1</v>
      </c>
      <c r="C61" s="300">
        <f t="shared" si="1"/>
        <v>1801424.9342547704</v>
      </c>
      <c r="D61" s="300">
        <f t="shared" si="7"/>
        <v>121.16299999999997</v>
      </c>
      <c r="E61" s="292">
        <f t="shared" si="2"/>
        <v>127.53999999999996</v>
      </c>
      <c r="F61" s="292">
        <f t="shared" si="3"/>
        <v>124.35149999999996</v>
      </c>
      <c r="G61" s="302">
        <f t="shared" si="8"/>
        <v>6485269.6022231439</v>
      </c>
      <c r="H61" s="302">
        <f t="shared" si="4"/>
        <v>52152.725155893946</v>
      </c>
      <c r="I61" s="303">
        <f>'[1]Agropecuario H'!H62+'[1]Agropecuario M'!H62</f>
        <v>52152.725155893888</v>
      </c>
      <c r="J61" s="292">
        <f t="shared" si="11"/>
        <v>124.35149999999996</v>
      </c>
      <c r="K61" s="302">
        <f t="shared" si="9"/>
        <v>6485269.6022231439</v>
      </c>
      <c r="L61" s="300">
        <f t="shared" si="10"/>
        <v>0</v>
      </c>
      <c r="M61" s="298">
        <f>'[1]Agropecuario H'!K62+'[1]Agropecuario M'!K62</f>
        <v>6485269.6022231374</v>
      </c>
      <c r="N61" s="299">
        <f t="shared" si="5"/>
        <v>0</v>
      </c>
    </row>
    <row r="62" spans="1:23">
      <c r="A62" s="292"/>
      <c r="B62" s="292"/>
      <c r="C62" s="292"/>
      <c r="D62" s="292"/>
      <c r="E62" s="292"/>
      <c r="F62" s="302"/>
      <c r="G62" s="302">
        <f>SUM(G52:G61)</f>
        <v>141740197.93772709</v>
      </c>
      <c r="H62" s="302">
        <f>SUM(H52:H61)</f>
        <v>1801424.9342547704</v>
      </c>
      <c r="I62" s="304">
        <f>SUM(I52:I61)</f>
        <v>1801424.9342547706</v>
      </c>
      <c r="J62" s="292"/>
      <c r="K62" s="302">
        <f>SUM(K52:K61)</f>
        <v>161927918.78019866</v>
      </c>
      <c r="L62" s="302">
        <f>SUM(L52:L61)</f>
        <v>1287714.1426879773</v>
      </c>
      <c r="M62" s="163"/>
      <c r="N62" s="163"/>
    </row>
    <row r="63" spans="1:23">
      <c r="A63" s="292"/>
      <c r="B63" s="292"/>
      <c r="C63" s="292"/>
      <c r="D63" s="292"/>
      <c r="E63" s="292"/>
      <c r="F63" s="292"/>
      <c r="G63" s="292"/>
      <c r="H63" s="292"/>
      <c r="I63" s="293"/>
      <c r="J63" s="292"/>
      <c r="K63" s="300"/>
      <c r="L63" s="302"/>
      <c r="M63" s="298"/>
      <c r="N63" s="299"/>
      <c r="Q63" s="36"/>
    </row>
    <row r="64" spans="1:23">
      <c r="A64" s="295" t="s">
        <v>30</v>
      </c>
      <c r="B64" s="305">
        <f>E22</f>
        <v>1801424.9342547704</v>
      </c>
      <c r="C64" s="292"/>
      <c r="D64" s="292"/>
      <c r="E64" s="292"/>
      <c r="F64" s="292"/>
      <c r="G64" s="292"/>
      <c r="H64" s="292"/>
      <c r="I64" s="293"/>
      <c r="J64" s="292"/>
      <c r="K64" s="292"/>
      <c r="L64" s="292"/>
      <c r="M64" s="298"/>
      <c r="N64" s="299"/>
      <c r="Q64" s="36"/>
      <c r="R64" s="36"/>
    </row>
    <row r="65" spans="1:18">
      <c r="A65" s="295" t="s">
        <v>71</v>
      </c>
      <c r="B65" s="292">
        <f>G62/H62</f>
        <v>78.682267155563409</v>
      </c>
      <c r="C65" s="292"/>
      <c r="D65" s="292"/>
      <c r="E65" s="292"/>
      <c r="F65" s="292"/>
      <c r="G65" s="292"/>
      <c r="H65" s="292"/>
      <c r="I65" s="293"/>
      <c r="J65" s="292"/>
      <c r="K65" s="292"/>
      <c r="L65" s="292"/>
      <c r="M65" s="298"/>
      <c r="N65" s="299"/>
      <c r="Q65" s="36"/>
      <c r="R65" s="36"/>
    </row>
    <row r="66" spans="1:18">
      <c r="A66" s="295" t="s">
        <v>43</v>
      </c>
      <c r="B66" s="292">
        <v>1</v>
      </c>
      <c r="C66" s="292"/>
      <c r="D66" s="292"/>
      <c r="E66" s="292"/>
      <c r="F66" s="292"/>
      <c r="G66" s="292"/>
      <c r="H66" s="292"/>
      <c r="I66" s="293"/>
      <c r="J66" s="292"/>
      <c r="K66" s="292"/>
      <c r="L66" s="292"/>
      <c r="M66" s="298"/>
      <c r="N66" s="299"/>
      <c r="Q66" s="36"/>
      <c r="R66" s="36"/>
    </row>
    <row r="67" spans="1:18">
      <c r="A67" s="295" t="s">
        <v>44</v>
      </c>
      <c r="B67" s="302">
        <f>G62*360</f>
        <v>51026471257.581757</v>
      </c>
      <c r="C67" s="292"/>
      <c r="D67" s="292"/>
      <c r="E67" s="292"/>
      <c r="F67" s="292"/>
      <c r="G67" s="292"/>
      <c r="H67" s="292"/>
      <c r="I67" s="293"/>
      <c r="J67" s="292"/>
      <c r="K67" s="292"/>
      <c r="L67" s="292"/>
      <c r="M67" s="298"/>
      <c r="N67" s="299"/>
      <c r="Q67" s="36"/>
      <c r="R67" s="36"/>
    </row>
    <row r="68" spans="1:18">
      <c r="A68" s="295" t="s">
        <v>40</v>
      </c>
      <c r="B68" s="292">
        <f>K62/H62</f>
        <v>89.888796197431589</v>
      </c>
      <c r="C68" s="292"/>
      <c r="D68" s="292"/>
      <c r="E68" s="292"/>
      <c r="F68" s="292"/>
      <c r="G68" s="292"/>
      <c r="H68" s="292"/>
      <c r="I68" s="293"/>
      <c r="J68" s="292"/>
      <c r="K68" s="292"/>
      <c r="L68" s="292"/>
      <c r="M68" s="298"/>
      <c r="N68" s="299"/>
      <c r="Q68" s="36"/>
      <c r="R68" s="36"/>
    </row>
    <row r="69" spans="1:18">
      <c r="A69" s="295" t="s">
        <v>42</v>
      </c>
      <c r="B69" s="306">
        <f>K62/G62-1</f>
        <v>0.1424276326419478</v>
      </c>
      <c r="C69" s="292"/>
      <c r="D69" s="292"/>
      <c r="E69" s="292"/>
      <c r="F69" s="292"/>
      <c r="G69" s="292"/>
      <c r="H69" s="292"/>
      <c r="I69" s="293"/>
      <c r="J69" s="292"/>
      <c r="K69" s="292"/>
      <c r="L69" s="292"/>
      <c r="M69" s="298"/>
      <c r="N69" s="299"/>
      <c r="Q69" s="36"/>
      <c r="R69" s="36"/>
    </row>
    <row r="70" spans="1:18">
      <c r="A70" s="163"/>
      <c r="B70" s="228"/>
      <c r="C70" s="163"/>
      <c r="D70" s="163"/>
      <c r="E70" s="163"/>
      <c r="F70" s="163"/>
      <c r="G70" s="163"/>
      <c r="H70" s="163"/>
      <c r="I70" s="293"/>
      <c r="J70" s="163"/>
      <c r="K70" s="163"/>
      <c r="L70" s="163"/>
      <c r="M70" s="298"/>
      <c r="N70" s="299"/>
      <c r="Q70" s="36"/>
      <c r="R70" s="36"/>
    </row>
    <row r="71" spans="1:18">
      <c r="A71" s="163"/>
      <c r="B71" s="228"/>
      <c r="C71" s="163"/>
      <c r="D71" s="163"/>
      <c r="E71" s="163"/>
      <c r="F71" s="163"/>
      <c r="G71" s="163"/>
      <c r="H71" s="163"/>
      <c r="I71" s="293"/>
      <c r="J71" s="163"/>
      <c r="K71" s="163"/>
      <c r="L71" s="163"/>
      <c r="M71" s="163"/>
      <c r="N71" s="163"/>
    </row>
    <row r="72" spans="1:18">
      <c r="A72" s="291" t="s">
        <v>38</v>
      </c>
      <c r="B72" s="292"/>
      <c r="C72" s="292"/>
      <c r="D72" s="292"/>
      <c r="E72" s="292"/>
      <c r="F72" s="292"/>
      <c r="G72" s="292"/>
      <c r="H72" s="292"/>
      <c r="I72" s="293"/>
      <c r="J72" s="292"/>
      <c r="K72" s="292"/>
      <c r="L72" s="292"/>
      <c r="M72" s="163"/>
      <c r="N72" s="163"/>
    </row>
    <row r="73" spans="1:18" ht="28">
      <c r="A73" s="295" t="s">
        <v>27</v>
      </c>
      <c r="B73" s="296" t="s">
        <v>28</v>
      </c>
      <c r="C73" s="296" t="s">
        <v>33</v>
      </c>
      <c r="D73" s="296" t="s">
        <v>36</v>
      </c>
      <c r="E73" s="296" t="s">
        <v>32</v>
      </c>
      <c r="F73" s="296" t="s">
        <v>35</v>
      </c>
      <c r="G73" s="296" t="s">
        <v>34</v>
      </c>
      <c r="H73" s="296" t="s">
        <v>31</v>
      </c>
      <c r="I73" s="297"/>
      <c r="J73" s="295" t="s">
        <v>40</v>
      </c>
      <c r="K73" s="295" t="s">
        <v>41</v>
      </c>
      <c r="L73" s="295" t="s">
        <v>45</v>
      </c>
      <c r="M73" s="163"/>
      <c r="N73" s="163"/>
    </row>
    <row r="74" spans="1:18">
      <c r="A74" s="292">
        <v>0.1</v>
      </c>
      <c r="B74" s="292">
        <f t="shared" ref="B74:B83" si="12">A74^$B$12</f>
        <v>0.52621759425125025</v>
      </c>
      <c r="C74" s="300">
        <f>$B$86*B74</f>
        <v>397558.61961078679</v>
      </c>
      <c r="D74" s="292">
        <f>E11</f>
        <v>127.54</v>
      </c>
      <c r="E74" s="292">
        <f>D74+$D$52*$A$74*$B$88</f>
        <v>133.917</v>
      </c>
      <c r="F74" s="292">
        <f>AVERAGE(E74,D74)</f>
        <v>130.7285</v>
      </c>
      <c r="G74" s="301">
        <f>H74*F74</f>
        <v>51972242.003788739</v>
      </c>
      <c r="H74" s="302">
        <f>C74</f>
        <v>397558.61961078679</v>
      </c>
      <c r="I74" s="293"/>
      <c r="J74" s="292">
        <f>IF(F74&lt;$J$50,$J$50,F74)</f>
        <v>130.7285</v>
      </c>
      <c r="K74" s="302">
        <f>H74*J74</f>
        <v>51972242.003788739</v>
      </c>
      <c r="L74" s="300">
        <f>IF(J74&gt;F74,H74,0)</f>
        <v>0</v>
      </c>
      <c r="M74" s="163"/>
      <c r="N74" s="163"/>
    </row>
    <row r="75" spans="1:18">
      <c r="A75" s="292">
        <f>A74+0.1</f>
        <v>0.2</v>
      </c>
      <c r="B75" s="292">
        <f t="shared" si="12"/>
        <v>0.63841481079663176</v>
      </c>
      <c r="C75" s="300">
        <f t="shared" ref="C75:C83" si="13">$B$86*B75</f>
        <v>482323.87835783104</v>
      </c>
      <c r="D75" s="300">
        <f>E74</f>
        <v>133.917</v>
      </c>
      <c r="E75" s="292">
        <f t="shared" ref="E75:E83" si="14">D75+$D$52*$A$74*$B$88</f>
        <v>140.29400000000001</v>
      </c>
      <c r="F75" s="292">
        <f t="shared" ref="F75:F83" si="15">AVERAGE(E75,E74)</f>
        <v>137.10550000000001</v>
      </c>
      <c r="G75" s="301">
        <f>H75*F75</f>
        <v>11621783.183142876</v>
      </c>
      <c r="H75" s="302">
        <f t="shared" ref="H75:H83" si="16">C75-C74</f>
        <v>84765.258747044252</v>
      </c>
      <c r="I75" s="293"/>
      <c r="J75" s="292">
        <f t="shared" ref="J75:J83" si="17">IF(F75&lt;$J$50,$J$50,F75)</f>
        <v>137.10550000000001</v>
      </c>
      <c r="K75" s="302">
        <f t="shared" ref="K75:K83" si="18">H75*J75</f>
        <v>11621783.183142876</v>
      </c>
      <c r="L75" s="300">
        <f t="shared" ref="L75:L83" si="19">IF(J75&gt;F75,H75,0)</f>
        <v>0</v>
      </c>
      <c r="M75" s="163"/>
      <c r="N75" s="163"/>
    </row>
    <row r="76" spans="1:18">
      <c r="A76" s="292">
        <f t="shared" ref="A76:A83" si="20">A75+0.1</f>
        <v>0.30000000000000004</v>
      </c>
      <c r="B76" s="292">
        <f t="shared" si="12"/>
        <v>0.71483086427949905</v>
      </c>
      <c r="C76" s="300">
        <f t="shared" si="13"/>
        <v>540056.3849684851</v>
      </c>
      <c r="D76" s="300">
        <f t="shared" ref="D76:D83" si="21">E75</f>
        <v>140.29400000000001</v>
      </c>
      <c r="E76" s="292">
        <f t="shared" si="14"/>
        <v>146.67100000000002</v>
      </c>
      <c r="F76" s="292">
        <f t="shared" si="15"/>
        <v>143.48250000000002</v>
      </c>
      <c r="G76" s="302">
        <f t="shared" ref="G76:G83" si="22">H76*F76</f>
        <v>8283604.379763172</v>
      </c>
      <c r="H76" s="302">
        <f t="shared" si="16"/>
        <v>57732.506610654062</v>
      </c>
      <c r="I76" s="293"/>
      <c r="J76" s="292">
        <f t="shared" si="17"/>
        <v>143.48250000000002</v>
      </c>
      <c r="K76" s="302">
        <f t="shared" si="18"/>
        <v>8283604.379763172</v>
      </c>
      <c r="L76" s="300">
        <f t="shared" si="19"/>
        <v>0</v>
      </c>
      <c r="M76" s="163"/>
      <c r="N76" s="163"/>
    </row>
    <row r="77" spans="1:18">
      <c r="A77" s="292">
        <f t="shared" si="20"/>
        <v>0.4</v>
      </c>
      <c r="B77" s="292">
        <f t="shared" si="12"/>
        <v>0.77453409976614584</v>
      </c>
      <c r="C77" s="300">
        <f t="shared" si="13"/>
        <v>585162.31860824127</v>
      </c>
      <c r="D77" s="300">
        <f t="shared" si="21"/>
        <v>146.67100000000002</v>
      </c>
      <c r="E77" s="292">
        <f t="shared" si="14"/>
        <v>153.04800000000003</v>
      </c>
      <c r="F77" s="292">
        <f t="shared" si="15"/>
        <v>149.85950000000003</v>
      </c>
      <c r="G77" s="302">
        <f t="shared" si="22"/>
        <v>6759552.6622870406</v>
      </c>
      <c r="H77" s="302">
        <f t="shared" si="16"/>
        <v>45105.933639756171</v>
      </c>
      <c r="I77" s="293"/>
      <c r="J77" s="292">
        <f t="shared" si="17"/>
        <v>149.85950000000003</v>
      </c>
      <c r="K77" s="302">
        <f t="shared" si="18"/>
        <v>6759552.6622870406</v>
      </c>
      <c r="L77" s="300">
        <f t="shared" si="19"/>
        <v>0</v>
      </c>
      <c r="M77" s="163"/>
      <c r="N77" s="163"/>
    </row>
    <row r="78" spans="1:18">
      <c r="A78" s="292">
        <f t="shared" si="20"/>
        <v>0.5</v>
      </c>
      <c r="B78" s="292">
        <f t="shared" si="12"/>
        <v>0.82425655757362726</v>
      </c>
      <c r="C78" s="300">
        <f t="shared" si="13"/>
        <v>622727.75143593876</v>
      </c>
      <c r="D78" s="300">
        <f t="shared" si="21"/>
        <v>153.04800000000003</v>
      </c>
      <c r="E78" s="292">
        <f t="shared" si="14"/>
        <v>159.42500000000004</v>
      </c>
      <c r="F78" s="292">
        <f t="shared" si="15"/>
        <v>156.23650000000004</v>
      </c>
      <c r="G78" s="302">
        <f t="shared" si="22"/>
        <v>5869091.7459845589</v>
      </c>
      <c r="H78" s="302">
        <f t="shared" si="16"/>
        <v>37565.432827697485</v>
      </c>
      <c r="I78" s="293"/>
      <c r="J78" s="292">
        <f t="shared" si="17"/>
        <v>156.23650000000004</v>
      </c>
      <c r="K78" s="302">
        <f t="shared" si="18"/>
        <v>5869091.7459845589</v>
      </c>
      <c r="L78" s="300">
        <f t="shared" si="19"/>
        <v>0</v>
      </c>
      <c r="M78" s="163"/>
      <c r="N78" s="163"/>
    </row>
    <row r="79" spans="1:18">
      <c r="A79" s="292">
        <f t="shared" si="20"/>
        <v>0.6</v>
      </c>
      <c r="B79" s="292">
        <f t="shared" si="12"/>
        <v>0.86724316320121753</v>
      </c>
      <c r="C79" s="300">
        <f t="shared" si="13"/>
        <v>655204.23223353503</v>
      </c>
      <c r="D79" s="300">
        <f t="shared" si="21"/>
        <v>159.42500000000004</v>
      </c>
      <c r="E79" s="292">
        <f t="shared" si="14"/>
        <v>165.80200000000005</v>
      </c>
      <c r="F79" s="292">
        <f t="shared" si="15"/>
        <v>162.61350000000004</v>
      </c>
      <c r="G79" s="302">
        <f t="shared" si="22"/>
        <v>5281114.2101799231</v>
      </c>
      <c r="H79" s="302">
        <f t="shared" si="16"/>
        <v>32476.480797596276</v>
      </c>
      <c r="I79" s="293"/>
      <c r="J79" s="292">
        <f t="shared" si="17"/>
        <v>162.61350000000004</v>
      </c>
      <c r="K79" s="302">
        <f t="shared" si="18"/>
        <v>5281114.2101799231</v>
      </c>
      <c r="L79" s="300">
        <f t="shared" si="19"/>
        <v>0</v>
      </c>
      <c r="M79" s="163"/>
      <c r="N79" s="163"/>
    </row>
    <row r="80" spans="1:18">
      <c r="A80" s="292">
        <f t="shared" si="20"/>
        <v>0.7</v>
      </c>
      <c r="B80" s="292">
        <f t="shared" si="12"/>
        <v>0.90533220264621461</v>
      </c>
      <c r="C80" s="300">
        <f t="shared" si="13"/>
        <v>683980.59035892261</v>
      </c>
      <c r="D80" s="300">
        <f t="shared" si="21"/>
        <v>165.80200000000005</v>
      </c>
      <c r="E80" s="292">
        <f t="shared" si="14"/>
        <v>172.17900000000006</v>
      </c>
      <c r="F80" s="292">
        <f t="shared" si="15"/>
        <v>168.99050000000005</v>
      </c>
      <c r="G80" s="302">
        <f t="shared" si="22"/>
        <v>4862931.1477883104</v>
      </c>
      <c r="H80" s="302">
        <f t="shared" si="16"/>
        <v>28776.358125387575</v>
      </c>
      <c r="I80" s="293"/>
      <c r="J80" s="292">
        <f t="shared" si="17"/>
        <v>168.99050000000005</v>
      </c>
      <c r="K80" s="302">
        <f t="shared" si="18"/>
        <v>4862931.1477883104</v>
      </c>
      <c r="L80" s="300">
        <f t="shared" si="19"/>
        <v>0</v>
      </c>
      <c r="M80" s="163"/>
      <c r="N80" s="163"/>
    </row>
    <row r="81" spans="1:14">
      <c r="A81" s="292">
        <f t="shared" si="20"/>
        <v>0.79999999999999993</v>
      </c>
      <c r="B81" s="292">
        <f t="shared" si="12"/>
        <v>0.9396759936568172</v>
      </c>
      <c r="C81" s="300">
        <f t="shared" si="13"/>
        <v>709927.40455810225</v>
      </c>
      <c r="D81" s="300">
        <f t="shared" si="21"/>
        <v>172.17900000000006</v>
      </c>
      <c r="E81" s="292">
        <f t="shared" si="14"/>
        <v>178.55600000000007</v>
      </c>
      <c r="F81" s="292">
        <f t="shared" si="15"/>
        <v>175.36750000000006</v>
      </c>
      <c r="G81" s="302">
        <f t="shared" si="22"/>
        <v>4550227.9390746374</v>
      </c>
      <c r="H81" s="302">
        <f t="shared" si="16"/>
        <v>25946.814199179644</v>
      </c>
      <c r="I81" s="293"/>
      <c r="J81" s="292">
        <f t="shared" si="17"/>
        <v>175.36750000000006</v>
      </c>
      <c r="K81" s="302">
        <f t="shared" si="18"/>
        <v>4550227.9390746374</v>
      </c>
      <c r="L81" s="300">
        <f t="shared" si="19"/>
        <v>0</v>
      </c>
      <c r="M81" s="163"/>
      <c r="N81" s="163"/>
    </row>
    <row r="82" spans="1:14">
      <c r="A82" s="292">
        <f t="shared" si="20"/>
        <v>0.89999999999999991</v>
      </c>
      <c r="B82" s="292">
        <f t="shared" si="12"/>
        <v>0.9710491821423195</v>
      </c>
      <c r="C82" s="300">
        <f t="shared" si="13"/>
        <v>733629.92162204161</v>
      </c>
      <c r="D82" s="300">
        <f t="shared" si="21"/>
        <v>178.55600000000007</v>
      </c>
      <c r="E82" s="292">
        <f t="shared" si="14"/>
        <v>184.93300000000008</v>
      </c>
      <c r="F82" s="292">
        <f t="shared" si="15"/>
        <v>181.74450000000007</v>
      </c>
      <c r="G82" s="302">
        <f t="shared" si="22"/>
        <v>4307802.1125271292</v>
      </c>
      <c r="H82" s="302">
        <f t="shared" si="16"/>
        <v>23702.517063939362</v>
      </c>
      <c r="I82" s="293"/>
      <c r="J82" s="292">
        <f t="shared" si="17"/>
        <v>181.74450000000007</v>
      </c>
      <c r="K82" s="302">
        <f t="shared" si="18"/>
        <v>4307802.1125271292</v>
      </c>
      <c r="L82" s="300">
        <f t="shared" si="19"/>
        <v>0</v>
      </c>
      <c r="M82" s="163"/>
      <c r="N82" s="163"/>
    </row>
    <row r="83" spans="1:14">
      <c r="A83" s="292">
        <f t="shared" si="20"/>
        <v>0.99999999999999989</v>
      </c>
      <c r="B83" s="292">
        <f t="shared" si="12"/>
        <v>1</v>
      </c>
      <c r="C83" s="300">
        <f t="shared" si="13"/>
        <v>755502.33202762622</v>
      </c>
      <c r="D83" s="300">
        <f t="shared" si="21"/>
        <v>184.93300000000008</v>
      </c>
      <c r="E83" s="292">
        <f t="shared" si="14"/>
        <v>191.31000000000009</v>
      </c>
      <c r="F83" s="292">
        <f t="shared" si="15"/>
        <v>188.12150000000008</v>
      </c>
      <c r="G83" s="302">
        <f t="shared" si="22"/>
        <v>4114670.6541141872</v>
      </c>
      <c r="H83" s="302">
        <f t="shared" si="16"/>
        <v>21872.410405584611</v>
      </c>
      <c r="I83" s="293"/>
      <c r="J83" s="292">
        <f t="shared" si="17"/>
        <v>188.12150000000008</v>
      </c>
      <c r="K83" s="302">
        <f t="shared" si="18"/>
        <v>4114670.6541141872</v>
      </c>
      <c r="L83" s="300">
        <f t="shared" si="19"/>
        <v>0</v>
      </c>
      <c r="M83" s="163"/>
      <c r="N83" s="163"/>
    </row>
    <row r="84" spans="1:14">
      <c r="A84" s="292"/>
      <c r="B84" s="292"/>
      <c r="C84" s="292"/>
      <c r="D84" s="292"/>
      <c r="E84" s="292"/>
      <c r="F84" s="302"/>
      <c r="G84" s="302">
        <f>SUM(G74:G83)</f>
        <v>107623020.03865059</v>
      </c>
      <c r="H84" s="302">
        <f>SUM(H74:H83)</f>
        <v>755502.33202762622</v>
      </c>
      <c r="I84" s="293"/>
      <c r="J84" s="292"/>
      <c r="K84" s="302">
        <f>SUM(K74:K83)</f>
        <v>107623020.03865059</v>
      </c>
      <c r="L84" s="302">
        <f>SUM(L74:L83)</f>
        <v>0</v>
      </c>
      <c r="M84" s="163"/>
      <c r="N84" s="163"/>
    </row>
    <row r="85" spans="1:14">
      <c r="A85" s="292" t="s">
        <v>29</v>
      </c>
      <c r="B85" s="292">
        <f>B12</f>
        <v>0.27883463523456381</v>
      </c>
      <c r="C85" s="292"/>
      <c r="D85" s="292"/>
      <c r="E85" s="292"/>
      <c r="F85" s="292"/>
      <c r="G85" s="292"/>
      <c r="H85" s="292"/>
      <c r="I85" s="293"/>
      <c r="J85" s="292"/>
      <c r="K85" s="300"/>
      <c r="L85" s="302"/>
      <c r="M85" s="163"/>
      <c r="N85" s="163"/>
    </row>
    <row r="86" spans="1:14">
      <c r="A86" s="295" t="s">
        <v>30</v>
      </c>
      <c r="B86" s="305">
        <f>F22</f>
        <v>755502.33202762622</v>
      </c>
      <c r="C86" s="292"/>
      <c r="D86" s="292"/>
      <c r="E86" s="292"/>
      <c r="F86" s="292"/>
      <c r="G86" s="292"/>
      <c r="H86" s="292"/>
      <c r="I86" s="293"/>
      <c r="J86" s="292"/>
      <c r="K86" s="292"/>
      <c r="L86" s="292"/>
      <c r="M86" s="163"/>
      <c r="N86" s="163"/>
    </row>
    <row r="87" spans="1:14">
      <c r="A87" s="295" t="s">
        <v>37</v>
      </c>
      <c r="B87" s="292">
        <f>G84/H84</f>
        <v>142.45226715556342</v>
      </c>
      <c r="C87" s="292"/>
      <c r="D87" s="292"/>
      <c r="E87" s="292"/>
      <c r="F87" s="292"/>
      <c r="G87" s="292"/>
      <c r="H87" s="292"/>
      <c r="I87" s="293"/>
      <c r="J87" s="292"/>
      <c r="K87" s="292"/>
      <c r="L87" s="292"/>
      <c r="M87" s="163"/>
      <c r="N87" s="163"/>
    </row>
    <row r="88" spans="1:14">
      <c r="A88" s="295" t="s">
        <v>43</v>
      </c>
      <c r="B88" s="292">
        <v>1</v>
      </c>
      <c r="C88" s="292"/>
      <c r="D88" s="292"/>
      <c r="E88" s="292"/>
      <c r="F88" s="292"/>
      <c r="G88" s="292"/>
      <c r="H88" s="292"/>
      <c r="I88" s="293"/>
      <c r="J88" s="292"/>
      <c r="K88" s="292"/>
      <c r="L88" s="292"/>
      <c r="M88" s="163"/>
      <c r="N88" s="163"/>
    </row>
    <row r="89" spans="1:14">
      <c r="A89" s="295" t="s">
        <v>44</v>
      </c>
      <c r="B89" s="302">
        <f>G84*360</f>
        <v>38744287213.914215</v>
      </c>
      <c r="C89" s="292"/>
      <c r="D89" s="292"/>
      <c r="E89" s="292"/>
      <c r="F89" s="292"/>
      <c r="G89" s="292"/>
      <c r="H89" s="292"/>
      <c r="I89" s="293"/>
      <c r="J89" s="292"/>
      <c r="K89" s="292"/>
      <c r="L89" s="292"/>
      <c r="M89" s="163"/>
      <c r="N89" s="163"/>
    </row>
    <row r="90" spans="1:14">
      <c r="A90" s="295" t="s">
        <v>40</v>
      </c>
      <c r="B90" s="292">
        <f>K84/H84</f>
        <v>142.45226715556342</v>
      </c>
      <c r="C90" s="292"/>
      <c r="D90" s="292"/>
      <c r="E90" s="292"/>
      <c r="F90" s="292"/>
      <c r="G90" s="292"/>
      <c r="H90" s="292"/>
      <c r="I90" s="293"/>
      <c r="J90" s="292"/>
      <c r="K90" s="292"/>
      <c r="L90" s="292"/>
      <c r="M90" s="163"/>
      <c r="N90" s="163"/>
    </row>
    <row r="91" spans="1:14">
      <c r="A91" s="295" t="s">
        <v>42</v>
      </c>
      <c r="B91" s="306">
        <f>K84/G84-1</f>
        <v>0</v>
      </c>
      <c r="C91" s="292"/>
      <c r="D91" s="292"/>
      <c r="E91" s="292"/>
      <c r="F91" s="292"/>
      <c r="G91" s="292"/>
      <c r="H91" s="292"/>
      <c r="I91" s="293"/>
      <c r="J91" s="292"/>
      <c r="K91" s="292"/>
      <c r="L91" s="292"/>
      <c r="M91" s="163"/>
      <c r="N91" s="163"/>
    </row>
    <row r="92" spans="1:14">
      <c r="A92" s="163"/>
      <c r="B92" s="163"/>
      <c r="C92" s="163"/>
      <c r="D92" s="163"/>
      <c r="E92" s="163"/>
      <c r="F92" s="163"/>
      <c r="G92" s="163"/>
      <c r="H92" s="163"/>
      <c r="I92" s="293"/>
      <c r="J92" s="163"/>
      <c r="K92" s="163"/>
      <c r="L92" s="163"/>
      <c r="M92" s="163"/>
      <c r="N92" s="163"/>
    </row>
    <row r="93" spans="1:14">
      <c r="A93" s="163"/>
      <c r="B93" s="163"/>
      <c r="C93" s="163"/>
      <c r="D93" s="163"/>
      <c r="E93" s="163"/>
      <c r="F93" s="163"/>
      <c r="G93" s="163"/>
      <c r="H93" s="163"/>
      <c r="I93" s="293"/>
      <c r="J93" s="163"/>
      <c r="K93" s="163"/>
      <c r="L93" s="163"/>
      <c r="M93" s="163"/>
      <c r="N93" s="163"/>
    </row>
    <row r="94" spans="1:14">
      <c r="A94" s="291" t="s">
        <v>39</v>
      </c>
      <c r="B94" s="292"/>
      <c r="C94" s="292"/>
      <c r="D94" s="292"/>
      <c r="E94" s="292"/>
      <c r="F94" s="292"/>
      <c r="G94" s="292"/>
      <c r="H94" s="292"/>
      <c r="I94" s="293"/>
      <c r="J94" s="292"/>
      <c r="K94" s="292"/>
      <c r="L94" s="292"/>
      <c r="M94" s="163"/>
      <c r="N94" s="163"/>
    </row>
    <row r="95" spans="1:14" ht="28">
      <c r="A95" s="295" t="s">
        <v>27</v>
      </c>
      <c r="B95" s="296" t="s">
        <v>28</v>
      </c>
      <c r="C95" s="296" t="s">
        <v>33</v>
      </c>
      <c r="D95" s="296" t="s">
        <v>36</v>
      </c>
      <c r="E95" s="296" t="s">
        <v>32</v>
      </c>
      <c r="F95" s="296" t="s">
        <v>35</v>
      </c>
      <c r="G95" s="296" t="s">
        <v>34</v>
      </c>
      <c r="H95" s="296" t="s">
        <v>31</v>
      </c>
      <c r="I95" s="297"/>
      <c r="J95" s="295" t="s">
        <v>40</v>
      </c>
      <c r="K95" s="295" t="s">
        <v>41</v>
      </c>
      <c r="L95" s="295" t="s">
        <v>45</v>
      </c>
      <c r="M95" s="163"/>
      <c r="N95" s="163"/>
    </row>
    <row r="96" spans="1:14">
      <c r="A96" s="292">
        <v>0.1</v>
      </c>
      <c r="B96" s="292">
        <f>A96^$B$107</f>
        <v>0.39810717055349726</v>
      </c>
      <c r="C96" s="300">
        <f>$B$108*B96</f>
        <v>89335.348914016533</v>
      </c>
      <c r="D96" s="292">
        <f>E83</f>
        <v>191.31000000000009</v>
      </c>
      <c r="E96" s="292">
        <f>D96+$D$52*$A$96*$B$110</f>
        <v>204.06400000000008</v>
      </c>
      <c r="F96" s="292">
        <f>AVERAGE(E96,D96)</f>
        <v>197.68700000000007</v>
      </c>
      <c r="G96" s="302">
        <f t="shared" ref="G96:G105" si="23">H96*F96</f>
        <v>17660437.120765194</v>
      </c>
      <c r="H96" s="302">
        <f>C96</f>
        <v>89335.348914016533</v>
      </c>
      <c r="I96" s="293"/>
      <c r="J96" s="292">
        <f>IF(F96&lt;$J$50,$J$50,F96)</f>
        <v>197.68700000000007</v>
      </c>
      <c r="K96" s="302">
        <f>H96*J96</f>
        <v>17660437.120765194</v>
      </c>
      <c r="L96" s="300">
        <f>IF(J96&gt;F96,H96,0)</f>
        <v>0</v>
      </c>
      <c r="M96" s="163"/>
      <c r="N96" s="163"/>
    </row>
    <row r="97" spans="1:14">
      <c r="A97" s="292">
        <f>A96+0.1</f>
        <v>0.2</v>
      </c>
      <c r="B97" s="292">
        <f t="shared" ref="B97:B105" si="24">A97^$B$12</f>
        <v>0.63841481079663176</v>
      </c>
      <c r="C97" s="300">
        <f t="shared" ref="C97:C105" si="25">$B$108*B97</f>
        <v>143260.44365163954</v>
      </c>
      <c r="D97" s="300">
        <f>E96</f>
        <v>204.06400000000008</v>
      </c>
      <c r="E97" s="292">
        <f t="shared" ref="E97:E105" si="26">D97+$D$52*$A$96*$B$110</f>
        <v>216.81800000000007</v>
      </c>
      <c r="F97" s="292">
        <f t="shared" ref="F97:F105" si="27">AVERAGE(E97,E96)</f>
        <v>210.44100000000009</v>
      </c>
      <c r="G97" s="302">
        <f t="shared" si="23"/>
        <v>11348050.861680128</v>
      </c>
      <c r="H97" s="302">
        <f t="shared" ref="H97:H105" si="28">C97-C96</f>
        <v>53925.094737623003</v>
      </c>
      <c r="I97" s="293"/>
      <c r="J97" s="292">
        <f t="shared" ref="J97:J105" si="29">IF(F97&lt;$J$50,$J$50,F97)</f>
        <v>210.44100000000009</v>
      </c>
      <c r="K97" s="302">
        <f t="shared" ref="K97:K105" si="30">H97*J97</f>
        <v>11348050.861680128</v>
      </c>
      <c r="L97" s="300">
        <f t="shared" ref="L97:L105" si="31">IF(J97&gt;F97,H97,0)</f>
        <v>0</v>
      </c>
      <c r="M97" s="163"/>
      <c r="N97" s="163"/>
    </row>
    <row r="98" spans="1:14">
      <c r="A98" s="292">
        <f t="shared" ref="A98:A105" si="32">A97+0.1</f>
        <v>0.30000000000000004</v>
      </c>
      <c r="B98" s="292">
        <f t="shared" si="24"/>
        <v>0.71483086427949905</v>
      </c>
      <c r="C98" s="300">
        <f t="shared" si="25"/>
        <v>160408.22521767576</v>
      </c>
      <c r="D98" s="300">
        <f t="shared" ref="D98:D105" si="33">E97</f>
        <v>216.81800000000007</v>
      </c>
      <c r="E98" s="292">
        <f t="shared" si="26"/>
        <v>229.57200000000006</v>
      </c>
      <c r="F98" s="292">
        <f t="shared" si="27"/>
        <v>223.19500000000005</v>
      </c>
      <c r="G98" s="302">
        <f t="shared" si="23"/>
        <v>3827299.1066314559</v>
      </c>
      <c r="H98" s="302">
        <f t="shared" si="28"/>
        <v>17147.781566036225</v>
      </c>
      <c r="I98" s="293"/>
      <c r="J98" s="292">
        <f t="shared" si="29"/>
        <v>223.19500000000005</v>
      </c>
      <c r="K98" s="302">
        <f t="shared" si="30"/>
        <v>3827299.1066314559</v>
      </c>
      <c r="L98" s="300">
        <f t="shared" si="31"/>
        <v>0</v>
      </c>
      <c r="M98" s="163"/>
      <c r="N98" s="163"/>
    </row>
    <row r="99" spans="1:14">
      <c r="A99" s="292">
        <f t="shared" si="32"/>
        <v>0.4</v>
      </c>
      <c r="B99" s="292">
        <f t="shared" si="24"/>
        <v>0.77453409976614584</v>
      </c>
      <c r="C99" s="300">
        <f t="shared" si="25"/>
        <v>173805.64623393089</v>
      </c>
      <c r="D99" s="300">
        <f t="shared" si="33"/>
        <v>229.57200000000006</v>
      </c>
      <c r="E99" s="292">
        <f t="shared" si="26"/>
        <v>242.32600000000005</v>
      </c>
      <c r="F99" s="292">
        <f t="shared" si="27"/>
        <v>235.94900000000007</v>
      </c>
      <c r="G99" s="302">
        <f t="shared" si="23"/>
        <v>3161108.0913643828</v>
      </c>
      <c r="H99" s="302">
        <f t="shared" si="28"/>
        <v>13397.421016255132</v>
      </c>
      <c r="I99" s="293"/>
      <c r="J99" s="292">
        <f t="shared" si="29"/>
        <v>235.94900000000007</v>
      </c>
      <c r="K99" s="302">
        <f t="shared" si="30"/>
        <v>3161108.0913643828</v>
      </c>
      <c r="L99" s="300">
        <f t="shared" si="31"/>
        <v>0</v>
      </c>
      <c r="M99" s="163"/>
      <c r="N99" s="163"/>
    </row>
    <row r="100" spans="1:14">
      <c r="A100" s="292">
        <f t="shared" si="32"/>
        <v>0.5</v>
      </c>
      <c r="B100" s="292">
        <f t="shared" si="24"/>
        <v>0.82425655757362726</v>
      </c>
      <c r="C100" s="300">
        <f t="shared" si="25"/>
        <v>184963.37823588916</v>
      </c>
      <c r="D100" s="300">
        <f t="shared" si="33"/>
        <v>242.32600000000005</v>
      </c>
      <c r="E100" s="292">
        <f t="shared" si="26"/>
        <v>255.08000000000004</v>
      </c>
      <c r="F100" s="292">
        <f t="shared" si="27"/>
        <v>248.70300000000003</v>
      </c>
      <c r="G100" s="302">
        <f t="shared" si="23"/>
        <v>2774961.4220830277</v>
      </c>
      <c r="H100" s="302">
        <f t="shared" si="28"/>
        <v>11157.732001958269</v>
      </c>
      <c r="I100" s="293"/>
      <c r="J100" s="292">
        <f t="shared" si="29"/>
        <v>248.70300000000003</v>
      </c>
      <c r="K100" s="302">
        <f t="shared" si="30"/>
        <v>2774961.4220830277</v>
      </c>
      <c r="L100" s="300">
        <f t="shared" si="31"/>
        <v>0</v>
      </c>
      <c r="M100" s="163"/>
      <c r="N100" s="163"/>
    </row>
    <row r="101" spans="1:14">
      <c r="A101" s="292">
        <f t="shared" si="32"/>
        <v>0.6</v>
      </c>
      <c r="B101" s="292">
        <f t="shared" si="24"/>
        <v>0.86724316320121753</v>
      </c>
      <c r="C101" s="300">
        <f t="shared" si="25"/>
        <v>194609.58331938679</v>
      </c>
      <c r="D101" s="300">
        <f t="shared" si="33"/>
        <v>255.08000000000004</v>
      </c>
      <c r="E101" s="292">
        <f t="shared" si="26"/>
        <v>267.83400000000006</v>
      </c>
      <c r="F101" s="292">
        <f t="shared" si="27"/>
        <v>261.45700000000005</v>
      </c>
      <c r="G101" s="302">
        <f t="shared" si="23"/>
        <v>2522067.842516039</v>
      </c>
      <c r="H101" s="302">
        <f t="shared" si="28"/>
        <v>9646.2050834976253</v>
      </c>
      <c r="I101" s="293"/>
      <c r="J101" s="292">
        <f t="shared" si="29"/>
        <v>261.45700000000005</v>
      </c>
      <c r="K101" s="302">
        <f t="shared" si="30"/>
        <v>2522067.842516039</v>
      </c>
      <c r="L101" s="300">
        <f t="shared" si="31"/>
        <v>0</v>
      </c>
      <c r="M101" s="163"/>
      <c r="N101" s="163"/>
    </row>
    <row r="102" spans="1:14">
      <c r="A102" s="292">
        <f t="shared" si="32"/>
        <v>0.7</v>
      </c>
      <c r="B102" s="292">
        <f t="shared" si="24"/>
        <v>0.90533220264621461</v>
      </c>
      <c r="C102" s="300">
        <f t="shared" si="25"/>
        <v>203156.77332324357</v>
      </c>
      <c r="D102" s="300">
        <f t="shared" si="33"/>
        <v>267.83400000000006</v>
      </c>
      <c r="E102" s="292">
        <f t="shared" si="26"/>
        <v>280.58800000000008</v>
      </c>
      <c r="F102" s="292">
        <f t="shared" si="27"/>
        <v>274.21100000000007</v>
      </c>
      <c r="G102" s="302">
        <f t="shared" si="23"/>
        <v>2343733.5181475733</v>
      </c>
      <c r="H102" s="302">
        <f t="shared" si="28"/>
        <v>8547.1900038567837</v>
      </c>
      <c r="I102" s="293"/>
      <c r="J102" s="292">
        <f t="shared" si="29"/>
        <v>274.21100000000007</v>
      </c>
      <c r="K102" s="302">
        <f t="shared" si="30"/>
        <v>2343733.5181475733</v>
      </c>
      <c r="L102" s="300">
        <f t="shared" si="31"/>
        <v>0</v>
      </c>
      <c r="M102" s="163"/>
      <c r="N102" s="163"/>
    </row>
    <row r="103" spans="1:14">
      <c r="A103" s="292">
        <f t="shared" si="32"/>
        <v>0.79999999999999993</v>
      </c>
      <c r="B103" s="292">
        <f t="shared" si="24"/>
        <v>0.9396759936568172</v>
      </c>
      <c r="C103" s="300">
        <f t="shared" si="25"/>
        <v>210863.52863914651</v>
      </c>
      <c r="D103" s="300">
        <f t="shared" si="33"/>
        <v>280.58800000000008</v>
      </c>
      <c r="E103" s="292">
        <f t="shared" si="26"/>
        <v>293.3420000000001</v>
      </c>
      <c r="F103" s="292">
        <f t="shared" si="27"/>
        <v>286.96500000000009</v>
      </c>
      <c r="G103" s="302">
        <f t="shared" si="23"/>
        <v>2211569.0392280859</v>
      </c>
      <c r="H103" s="302">
        <f t="shared" si="28"/>
        <v>7706.7553159029339</v>
      </c>
      <c r="I103" s="293"/>
      <c r="J103" s="292">
        <f t="shared" si="29"/>
        <v>286.96500000000009</v>
      </c>
      <c r="K103" s="302">
        <f t="shared" si="30"/>
        <v>2211569.0392280859</v>
      </c>
      <c r="L103" s="300">
        <f t="shared" si="31"/>
        <v>0</v>
      </c>
      <c r="M103" s="163"/>
      <c r="N103" s="163"/>
    </row>
    <row r="104" spans="1:14">
      <c r="A104" s="292">
        <f t="shared" si="32"/>
        <v>0.89999999999999991</v>
      </c>
      <c r="B104" s="292">
        <f t="shared" si="24"/>
        <v>0.9710491821423195</v>
      </c>
      <c r="C104" s="300">
        <f t="shared" si="25"/>
        <v>217903.68000341571</v>
      </c>
      <c r="D104" s="300">
        <f t="shared" si="33"/>
        <v>293.3420000000001</v>
      </c>
      <c r="E104" s="292">
        <f t="shared" si="26"/>
        <v>306.09600000000012</v>
      </c>
      <c r="F104" s="292">
        <f t="shared" si="27"/>
        <v>299.71900000000011</v>
      </c>
      <c r="G104" s="301">
        <f>H104*F104</f>
        <v>2110067.1267474014</v>
      </c>
      <c r="H104" s="302">
        <f t="shared" si="28"/>
        <v>7040.1513642692007</v>
      </c>
      <c r="I104" s="293"/>
      <c r="J104" s="292">
        <f t="shared" si="29"/>
        <v>299.71900000000011</v>
      </c>
      <c r="K104" s="302">
        <f t="shared" si="30"/>
        <v>2110067.1267474014</v>
      </c>
      <c r="L104" s="300">
        <f t="shared" si="31"/>
        <v>0</v>
      </c>
      <c r="M104" s="163"/>
      <c r="N104" s="163"/>
    </row>
    <row r="105" spans="1:14">
      <c r="A105" s="292">
        <f t="shared" si="32"/>
        <v>0.99999999999999989</v>
      </c>
      <c r="B105" s="292">
        <f t="shared" si="24"/>
        <v>1</v>
      </c>
      <c r="C105" s="300">
        <f t="shared" si="25"/>
        <v>224400.25079129223</v>
      </c>
      <c r="D105" s="300">
        <f t="shared" si="33"/>
        <v>306.09600000000012</v>
      </c>
      <c r="E105" s="292">
        <f t="shared" si="26"/>
        <v>318.85000000000014</v>
      </c>
      <c r="F105" s="292">
        <f t="shared" si="27"/>
        <v>312.47300000000013</v>
      </c>
      <c r="G105" s="302">
        <f t="shared" si="23"/>
        <v>2030002.9638001421</v>
      </c>
      <c r="H105" s="302">
        <f t="shared" si="28"/>
        <v>6496.5707878765243</v>
      </c>
      <c r="I105" s="293"/>
      <c r="J105" s="292">
        <f t="shared" si="29"/>
        <v>312.47300000000013</v>
      </c>
      <c r="K105" s="302">
        <f t="shared" si="30"/>
        <v>2030002.9638001421</v>
      </c>
      <c r="L105" s="300">
        <f t="shared" si="31"/>
        <v>0</v>
      </c>
      <c r="M105" s="163"/>
      <c r="N105" s="163"/>
    </row>
    <row r="106" spans="1:14">
      <c r="A106" s="292"/>
      <c r="B106" s="292"/>
      <c r="C106" s="292"/>
      <c r="D106" s="292"/>
      <c r="E106" s="292"/>
      <c r="F106" s="302"/>
      <c r="G106" s="302">
        <f>SUM(G96:G105)</f>
        <v>49989297.092963435</v>
      </c>
      <c r="H106" s="302">
        <f>SUM(H96:H105)</f>
        <v>224400.25079129223</v>
      </c>
      <c r="I106" s="293"/>
      <c r="J106" s="292"/>
      <c r="K106" s="302">
        <f>SUM(K96:K105)</f>
        <v>49989297.092963435</v>
      </c>
      <c r="L106" s="302">
        <f>SUM(L96:L105)</f>
        <v>0</v>
      </c>
      <c r="M106" s="163"/>
      <c r="N106" s="163"/>
    </row>
    <row r="107" spans="1:14">
      <c r="A107" s="292" t="s">
        <v>29</v>
      </c>
      <c r="B107" s="292">
        <v>0.4</v>
      </c>
      <c r="C107" s="292"/>
      <c r="D107" s="292"/>
      <c r="E107" s="292"/>
      <c r="F107" s="292"/>
      <c r="G107" s="292"/>
      <c r="H107" s="292"/>
      <c r="I107" s="293"/>
      <c r="J107" s="292"/>
      <c r="K107" s="300"/>
      <c r="L107" s="302"/>
      <c r="M107" s="163"/>
      <c r="N107" s="163"/>
    </row>
    <row r="108" spans="1:14">
      <c r="A108" s="295" t="s">
        <v>30</v>
      </c>
      <c r="B108" s="305">
        <f>G22</f>
        <v>224400.25079129223</v>
      </c>
      <c r="C108" s="292"/>
      <c r="D108" s="292"/>
      <c r="E108" s="292"/>
      <c r="F108" s="292"/>
      <c r="G108" s="292"/>
      <c r="H108" s="292"/>
      <c r="I108" s="293"/>
      <c r="J108" s="292"/>
      <c r="K108" s="292"/>
      <c r="L108" s="292"/>
      <c r="M108" s="163"/>
      <c r="N108" s="163"/>
    </row>
    <row r="109" spans="1:14">
      <c r="A109" s="295" t="s">
        <v>37</v>
      </c>
      <c r="B109" s="292">
        <f>G106/H106</f>
        <v>222.76845465496802</v>
      </c>
      <c r="C109" s="292"/>
      <c r="D109" s="292"/>
      <c r="E109" s="292"/>
      <c r="F109" s="292"/>
      <c r="G109" s="292"/>
      <c r="H109" s="292"/>
      <c r="I109" s="293"/>
      <c r="J109" s="292"/>
      <c r="K109" s="292"/>
      <c r="L109" s="292"/>
      <c r="M109" s="163"/>
      <c r="N109" s="163"/>
    </row>
    <row r="110" spans="1:14">
      <c r="A110" s="295" t="s">
        <v>43</v>
      </c>
      <c r="B110" s="292">
        <v>2</v>
      </c>
      <c r="C110" s="292"/>
      <c r="D110" s="292"/>
      <c r="E110" s="292"/>
      <c r="F110" s="292"/>
      <c r="G110" s="292"/>
      <c r="H110" s="292"/>
      <c r="I110" s="293"/>
      <c r="J110" s="292"/>
      <c r="K110" s="292"/>
      <c r="L110" s="292"/>
      <c r="M110" s="163"/>
      <c r="N110" s="163"/>
    </row>
    <row r="111" spans="1:14">
      <c r="A111" s="295" t="s">
        <v>44</v>
      </c>
      <c r="B111" s="302">
        <f>G106*360</f>
        <v>17996146953.466835</v>
      </c>
      <c r="C111" s="292"/>
      <c r="D111" s="292"/>
      <c r="E111" s="292"/>
      <c r="F111" s="292"/>
      <c r="G111" s="292"/>
      <c r="H111" s="292"/>
      <c r="I111" s="293"/>
      <c r="J111" s="292"/>
      <c r="K111" s="292"/>
      <c r="L111" s="292"/>
      <c r="M111" s="163"/>
      <c r="N111" s="163"/>
    </row>
    <row r="112" spans="1:14">
      <c r="A112" s="295" t="s">
        <v>40</v>
      </c>
      <c r="B112" s="292">
        <f>K106/H106</f>
        <v>222.76845465496802</v>
      </c>
      <c r="C112" s="292"/>
      <c r="D112" s="292"/>
      <c r="E112" s="292"/>
      <c r="F112" s="292"/>
      <c r="G112" s="292"/>
      <c r="H112" s="292"/>
      <c r="I112" s="293"/>
      <c r="J112" s="292"/>
      <c r="K112" s="292"/>
      <c r="L112" s="292"/>
      <c r="M112" s="163"/>
      <c r="N112" s="163"/>
    </row>
    <row r="113" spans="1:14">
      <c r="A113" s="295" t="s">
        <v>42</v>
      </c>
      <c r="B113" s="306">
        <f>K106/G106-1</f>
        <v>0</v>
      </c>
      <c r="C113" s="292"/>
      <c r="D113" s="292"/>
      <c r="E113" s="292"/>
      <c r="F113" s="292"/>
      <c r="G113" s="292"/>
      <c r="H113" s="292"/>
      <c r="I113" s="293"/>
      <c r="J113" s="292"/>
      <c r="K113" s="292"/>
      <c r="L113" s="292"/>
      <c r="M113" s="163"/>
      <c r="N113" s="163"/>
    </row>
    <row r="114" spans="1:14">
      <c r="A114" s="163"/>
      <c r="B114" s="163"/>
      <c r="C114" s="163"/>
      <c r="D114" s="163"/>
      <c r="E114" s="163"/>
      <c r="F114" s="163"/>
      <c r="G114" s="163"/>
      <c r="H114" s="163"/>
      <c r="I114" s="293"/>
      <c r="J114" s="163"/>
      <c r="K114" s="163"/>
      <c r="L114" s="163"/>
      <c r="M114" s="163"/>
      <c r="N114" s="163"/>
    </row>
    <row r="115" spans="1:14">
      <c r="A115" s="163"/>
      <c r="B115" s="163"/>
      <c r="C115" s="163"/>
      <c r="D115" s="163"/>
      <c r="E115" s="163"/>
      <c r="F115" s="163"/>
      <c r="G115" s="163"/>
      <c r="H115" s="163"/>
      <c r="I115" s="293"/>
      <c r="J115" s="163"/>
      <c r="K115" s="163"/>
      <c r="L115" s="163"/>
      <c r="M115" s="163"/>
      <c r="N115" s="163"/>
    </row>
    <row r="116" spans="1:14">
      <c r="A116" s="163"/>
      <c r="B116" s="163"/>
      <c r="C116" s="163"/>
      <c r="D116" s="163"/>
      <c r="E116" s="163"/>
      <c r="F116" s="163"/>
      <c r="G116" s="163"/>
      <c r="H116" s="163"/>
      <c r="I116" s="293"/>
      <c r="J116" s="163"/>
      <c r="K116" s="163"/>
      <c r="L116" s="163"/>
      <c r="M116" s="163"/>
      <c r="N116" s="163"/>
    </row>
    <row r="117" spans="1:14">
      <c r="A117" s="291" t="s">
        <v>46</v>
      </c>
      <c r="B117" s="292"/>
      <c r="C117" s="292"/>
      <c r="D117" s="292"/>
      <c r="E117" s="292"/>
      <c r="F117" s="292"/>
      <c r="G117" s="292"/>
      <c r="H117" s="292"/>
      <c r="I117" s="293"/>
      <c r="J117" s="292"/>
      <c r="K117" s="292"/>
      <c r="L117" s="292"/>
      <c r="M117" s="163"/>
      <c r="N117" s="163"/>
    </row>
    <row r="118" spans="1:14" ht="28">
      <c r="A118" s="295" t="s">
        <v>27</v>
      </c>
      <c r="B118" s="296" t="s">
        <v>28</v>
      </c>
      <c r="C118" s="296" t="s">
        <v>33</v>
      </c>
      <c r="D118" s="296" t="s">
        <v>36</v>
      </c>
      <c r="E118" s="296" t="s">
        <v>32</v>
      </c>
      <c r="F118" s="296" t="s">
        <v>35</v>
      </c>
      <c r="G118" s="296" t="s">
        <v>34</v>
      </c>
      <c r="H118" s="296" t="s">
        <v>31</v>
      </c>
      <c r="I118" s="297"/>
      <c r="J118" s="295" t="s">
        <v>40</v>
      </c>
      <c r="K118" s="295" t="s">
        <v>41</v>
      </c>
      <c r="L118" s="295" t="s">
        <v>45</v>
      </c>
      <c r="M118" s="163"/>
      <c r="N118" s="163"/>
    </row>
    <row r="119" spans="1:14">
      <c r="A119" s="292">
        <v>0.1</v>
      </c>
      <c r="B119" s="292">
        <f>A119^$B$130</f>
        <v>0.52621759425125025</v>
      </c>
      <c r="C119" s="300">
        <f>$B$131*B119</f>
        <v>54719.06418521313</v>
      </c>
      <c r="D119" s="292">
        <f>E105</f>
        <v>318.85000000000014</v>
      </c>
      <c r="E119" s="292">
        <f>D119+$D$52*$A$119*$B$133</f>
        <v>446.39000000000016</v>
      </c>
      <c r="F119" s="292">
        <f>AVERAGE(E119,D119)</f>
        <v>382.62000000000012</v>
      </c>
      <c r="G119" s="301">
        <f>H119*F119</f>
        <v>20936608.338546254</v>
      </c>
      <c r="H119" s="302">
        <f>C119</f>
        <v>54719.06418521313</v>
      </c>
      <c r="I119" s="293"/>
      <c r="J119" s="292">
        <f>IF(F119&lt;$J$50,$J$50,F119)</f>
        <v>382.62000000000012</v>
      </c>
      <c r="K119" s="302">
        <f>H119*J119</f>
        <v>20936608.338546254</v>
      </c>
      <c r="L119" s="300">
        <f>IF(J119&gt;F119,H119,0)</f>
        <v>0</v>
      </c>
      <c r="M119" s="163"/>
      <c r="N119" s="163"/>
    </row>
    <row r="120" spans="1:14">
      <c r="A120" s="292">
        <f>A119+0.1</f>
        <v>0.2</v>
      </c>
      <c r="B120" s="292">
        <f t="shared" ref="B120:B127" si="34">A120^$B$130</f>
        <v>0.63841481079663176</v>
      </c>
      <c r="C120" s="300">
        <f t="shared" ref="C120:C128" si="35">$B$131*B120</f>
        <v>66385.961606772311</v>
      </c>
      <c r="D120" s="300">
        <f>E119</f>
        <v>446.39000000000016</v>
      </c>
      <c r="E120" s="292">
        <f t="shared" ref="E120:E128" si="36">D120+$D$52*$A$119*$B$133</f>
        <v>573.93000000000018</v>
      </c>
      <c r="F120" s="292">
        <f t="shared" ref="F120:F128" si="37">AVERAGE(E120,E119)</f>
        <v>510.1600000000002</v>
      </c>
      <c r="G120" s="302">
        <f t="shared" ref="G120:G128" si="38">H120*F120</f>
        <v>5951984.3885826338</v>
      </c>
      <c r="H120" s="302">
        <f t="shared" ref="H120:H128" si="39">C120-C119</f>
        <v>11666.897421559181</v>
      </c>
      <c r="I120" s="293"/>
      <c r="J120" s="292">
        <f t="shared" ref="J120:J128" si="40">IF(F120&lt;$J$50,$J$50,F120)</f>
        <v>510.1600000000002</v>
      </c>
      <c r="K120" s="302">
        <f t="shared" ref="K120:K128" si="41">H120*J120</f>
        <v>5951984.3885826338</v>
      </c>
      <c r="L120" s="300">
        <f t="shared" ref="L120:L128" si="42">IF(J120&gt;F120,H120,0)</f>
        <v>0</v>
      </c>
      <c r="M120" s="163"/>
      <c r="N120" s="163"/>
    </row>
    <row r="121" spans="1:14">
      <c r="A121" s="292">
        <f t="shared" ref="A121:A128" si="43">A120+0.1</f>
        <v>0.30000000000000004</v>
      </c>
      <c r="B121" s="292">
        <f t="shared" si="34"/>
        <v>0.71483086427949905</v>
      </c>
      <c r="C121" s="300">
        <f t="shared" si="35"/>
        <v>74332.13250829716</v>
      </c>
      <c r="D121" s="300">
        <f t="shared" ref="D121:D128" si="44">E120</f>
        <v>573.93000000000018</v>
      </c>
      <c r="E121" s="292">
        <f t="shared" si="36"/>
        <v>701.47000000000025</v>
      </c>
      <c r="F121" s="292">
        <f t="shared" si="37"/>
        <v>637.70000000000027</v>
      </c>
      <c r="G121" s="302">
        <f t="shared" si="38"/>
        <v>5067273.1839023987</v>
      </c>
      <c r="H121" s="302">
        <f t="shared" si="39"/>
        <v>7946.1709015248489</v>
      </c>
      <c r="I121" s="293"/>
      <c r="J121" s="292">
        <f t="shared" si="40"/>
        <v>637.70000000000027</v>
      </c>
      <c r="K121" s="302">
        <f t="shared" si="41"/>
        <v>5067273.1839023987</v>
      </c>
      <c r="L121" s="300">
        <f t="shared" si="42"/>
        <v>0</v>
      </c>
      <c r="M121" s="163"/>
      <c r="N121" s="163"/>
    </row>
    <row r="122" spans="1:14">
      <c r="A122" s="292">
        <f t="shared" si="43"/>
        <v>0.4</v>
      </c>
      <c r="B122" s="292">
        <f t="shared" si="34"/>
        <v>0.77453409976614584</v>
      </c>
      <c r="C122" s="300">
        <f t="shared" si="35"/>
        <v>80540.410624324752</v>
      </c>
      <c r="D122" s="300">
        <f t="shared" si="44"/>
        <v>701.47000000000025</v>
      </c>
      <c r="E122" s="292">
        <f t="shared" si="36"/>
        <v>829.01000000000022</v>
      </c>
      <c r="F122" s="292">
        <f t="shared" si="37"/>
        <v>765.24000000000024</v>
      </c>
      <c r="G122" s="302">
        <f t="shared" si="38"/>
        <v>4750822.7455089558</v>
      </c>
      <c r="H122" s="302">
        <f t="shared" si="39"/>
        <v>6208.2781160275918</v>
      </c>
      <c r="I122" s="293"/>
      <c r="J122" s="292">
        <f t="shared" si="40"/>
        <v>765.24000000000024</v>
      </c>
      <c r="K122" s="302">
        <f t="shared" si="41"/>
        <v>4750822.7455089558</v>
      </c>
      <c r="L122" s="300">
        <f t="shared" si="42"/>
        <v>0</v>
      </c>
      <c r="M122" s="163"/>
      <c r="N122" s="163"/>
    </row>
    <row r="123" spans="1:14">
      <c r="A123" s="292">
        <f t="shared" si="43"/>
        <v>0.5</v>
      </c>
      <c r="B123" s="292">
        <f>A123^$B$130</f>
        <v>0.82425655757362726</v>
      </c>
      <c r="C123" s="300">
        <f t="shared" si="35"/>
        <v>85710.831358898402</v>
      </c>
      <c r="D123" s="300">
        <f t="shared" si="44"/>
        <v>829.01000000000022</v>
      </c>
      <c r="E123" s="292">
        <f t="shared" si="36"/>
        <v>956.55000000000018</v>
      </c>
      <c r="F123" s="292">
        <f t="shared" si="37"/>
        <v>892.7800000000002</v>
      </c>
      <c r="G123" s="302">
        <f t="shared" si="38"/>
        <v>4616048.2234126646</v>
      </c>
      <c r="H123" s="302">
        <f t="shared" si="39"/>
        <v>5170.4207345736504</v>
      </c>
      <c r="I123" s="293"/>
      <c r="J123" s="292">
        <f t="shared" si="40"/>
        <v>892.7800000000002</v>
      </c>
      <c r="K123" s="302">
        <f t="shared" si="41"/>
        <v>4616048.2234126646</v>
      </c>
      <c r="L123" s="300">
        <f t="shared" si="42"/>
        <v>0</v>
      </c>
      <c r="M123" s="163"/>
      <c r="N123" s="163"/>
    </row>
    <row r="124" spans="1:14">
      <c r="A124" s="292">
        <f t="shared" si="43"/>
        <v>0.6</v>
      </c>
      <c r="B124" s="292">
        <f t="shared" si="34"/>
        <v>0.86724316320121753</v>
      </c>
      <c r="C124" s="300">
        <f t="shared" si="35"/>
        <v>90180.820310498268</v>
      </c>
      <c r="D124" s="300">
        <f t="shared" si="44"/>
        <v>956.55000000000018</v>
      </c>
      <c r="E124" s="292">
        <f t="shared" si="36"/>
        <v>1084.0900000000001</v>
      </c>
      <c r="F124" s="292">
        <f t="shared" si="37"/>
        <v>1020.3200000000002</v>
      </c>
      <c r="G124" s="302">
        <f t="shared" si="38"/>
        <v>4560819.1270963755</v>
      </c>
      <c r="H124" s="302">
        <f t="shared" si="39"/>
        <v>4469.9889515998657</v>
      </c>
      <c r="I124" s="293"/>
      <c r="J124" s="292">
        <f t="shared" si="40"/>
        <v>1020.3200000000002</v>
      </c>
      <c r="K124" s="302">
        <f t="shared" si="41"/>
        <v>4560819.1270963755</v>
      </c>
      <c r="L124" s="300">
        <f t="shared" si="42"/>
        <v>0</v>
      </c>
      <c r="M124" s="163"/>
      <c r="N124" s="163"/>
    </row>
    <row r="125" spans="1:14">
      <c r="A125" s="292">
        <f t="shared" si="43"/>
        <v>0.7</v>
      </c>
      <c r="B125" s="292">
        <f t="shared" si="34"/>
        <v>0.90533220264621461</v>
      </c>
      <c r="C125" s="300">
        <f t="shared" si="35"/>
        <v>94141.532793153849</v>
      </c>
      <c r="D125" s="300">
        <f t="shared" si="44"/>
        <v>1084.0900000000001</v>
      </c>
      <c r="E125" s="292">
        <f t="shared" si="36"/>
        <v>1211.6300000000001</v>
      </c>
      <c r="F125" s="292">
        <f t="shared" si="37"/>
        <v>1147.8600000000001</v>
      </c>
      <c r="G125" s="302">
        <f t="shared" si="38"/>
        <v>4546343.4303410361</v>
      </c>
      <c r="H125" s="302">
        <f t="shared" si="39"/>
        <v>3960.712482655581</v>
      </c>
      <c r="I125" s="293"/>
      <c r="J125" s="292">
        <f t="shared" si="40"/>
        <v>1147.8600000000001</v>
      </c>
      <c r="K125" s="302">
        <f t="shared" si="41"/>
        <v>4546343.4303410361</v>
      </c>
      <c r="L125" s="300">
        <f t="shared" si="42"/>
        <v>0</v>
      </c>
      <c r="M125" s="163"/>
      <c r="N125" s="163"/>
    </row>
    <row r="126" spans="1:14">
      <c r="A126" s="292">
        <f t="shared" si="43"/>
        <v>0.79999999999999993</v>
      </c>
      <c r="B126" s="292">
        <f t="shared" si="34"/>
        <v>0.9396759936568172</v>
      </c>
      <c r="C126" s="300">
        <f t="shared" si="35"/>
        <v>97712.793285396954</v>
      </c>
      <c r="D126" s="300">
        <f t="shared" si="44"/>
        <v>1211.6300000000001</v>
      </c>
      <c r="E126" s="292">
        <f t="shared" si="36"/>
        <v>1339.17</v>
      </c>
      <c r="F126" s="292">
        <f t="shared" si="37"/>
        <v>1275.4000000000001</v>
      </c>
      <c r="G126" s="302">
        <f t="shared" si="38"/>
        <v>4554785.631806857</v>
      </c>
      <c r="H126" s="302">
        <f t="shared" si="39"/>
        <v>3571.2604922431055</v>
      </c>
      <c r="I126" s="293"/>
      <c r="J126" s="292">
        <f t="shared" si="40"/>
        <v>1275.4000000000001</v>
      </c>
      <c r="K126" s="302">
        <f t="shared" si="41"/>
        <v>4554785.631806857</v>
      </c>
      <c r="L126" s="300">
        <f t="shared" si="42"/>
        <v>0</v>
      </c>
      <c r="M126" s="163"/>
      <c r="N126" s="163"/>
    </row>
    <row r="127" spans="1:14">
      <c r="A127" s="292">
        <f t="shared" si="43"/>
        <v>0.89999999999999991</v>
      </c>
      <c r="B127" s="292">
        <f t="shared" si="34"/>
        <v>0.9710491821423195</v>
      </c>
      <c r="C127" s="300">
        <f t="shared" si="35"/>
        <v>100975.15382443534</v>
      </c>
      <c r="D127" s="300">
        <f t="shared" si="44"/>
        <v>1339.17</v>
      </c>
      <c r="E127" s="292">
        <f t="shared" si="36"/>
        <v>1466.71</v>
      </c>
      <c r="F127" s="292">
        <f t="shared" si="37"/>
        <v>1402.94</v>
      </c>
      <c r="G127" s="302">
        <f t="shared" si="38"/>
        <v>4576896.0946385181</v>
      </c>
      <c r="H127" s="302">
        <f t="shared" si="39"/>
        <v>3262.3605390383891</v>
      </c>
      <c r="I127" s="293"/>
      <c r="J127" s="292">
        <f t="shared" si="40"/>
        <v>1402.94</v>
      </c>
      <c r="K127" s="302">
        <f t="shared" si="41"/>
        <v>4576896.0946385181</v>
      </c>
      <c r="L127" s="300">
        <f t="shared" si="42"/>
        <v>0</v>
      </c>
      <c r="M127" s="163"/>
      <c r="N127" s="163"/>
    </row>
    <row r="128" spans="1:14">
      <c r="A128" s="292">
        <f t="shared" si="43"/>
        <v>0.99999999999999989</v>
      </c>
      <c r="B128" s="292">
        <f>A128^$B$130</f>
        <v>1</v>
      </c>
      <c r="C128" s="300">
        <f t="shared" si="35"/>
        <v>103985.6226454616</v>
      </c>
      <c r="D128" s="300">
        <f t="shared" si="44"/>
        <v>1466.71</v>
      </c>
      <c r="E128" s="292">
        <f t="shared" si="36"/>
        <v>1594.25</v>
      </c>
      <c r="F128" s="292">
        <f t="shared" si="37"/>
        <v>1530.48</v>
      </c>
      <c r="G128" s="302">
        <f t="shared" si="38"/>
        <v>4607462.3212042609</v>
      </c>
      <c r="H128" s="302">
        <f t="shared" si="39"/>
        <v>3010.4688210262539</v>
      </c>
      <c r="I128" s="293"/>
      <c r="J128" s="292">
        <f t="shared" si="40"/>
        <v>1530.48</v>
      </c>
      <c r="K128" s="302">
        <f t="shared" si="41"/>
        <v>4607462.3212042609</v>
      </c>
      <c r="L128" s="300">
        <f t="shared" si="42"/>
        <v>0</v>
      </c>
      <c r="M128" s="163"/>
      <c r="N128" s="163"/>
    </row>
    <row r="129" spans="1:14">
      <c r="A129" s="292"/>
      <c r="B129" s="292"/>
      <c r="C129" s="292"/>
      <c r="D129" s="292"/>
      <c r="E129" s="292"/>
      <c r="F129" s="302"/>
      <c r="G129" s="302">
        <f>SUM(G119:G128)</f>
        <v>64169043.485039949</v>
      </c>
      <c r="H129" s="302">
        <f>SUM(H119:H128)</f>
        <v>103985.6226454616</v>
      </c>
      <c r="I129" s="293"/>
      <c r="J129" s="292"/>
      <c r="K129" s="302">
        <f>SUM(K119:K128)</f>
        <v>64169043.485039949</v>
      </c>
      <c r="L129" s="302">
        <f>SUM(L119:L128)</f>
        <v>0</v>
      </c>
      <c r="M129" s="163"/>
      <c r="N129" s="163"/>
    </row>
    <row r="130" spans="1:14">
      <c r="A130" s="292" t="s">
        <v>29</v>
      </c>
      <c r="B130" s="307">
        <f>B12</f>
        <v>0.27883463523456381</v>
      </c>
      <c r="C130" s="292"/>
      <c r="D130" s="292"/>
      <c r="E130" s="292"/>
      <c r="F130" s="292"/>
      <c r="G130" s="292"/>
      <c r="H130" s="292"/>
      <c r="I130" s="293"/>
      <c r="J130" s="292"/>
      <c r="K130" s="300"/>
      <c r="L130" s="302"/>
      <c r="M130" s="163"/>
      <c r="N130" s="163"/>
    </row>
    <row r="131" spans="1:14">
      <c r="A131" s="295" t="s">
        <v>30</v>
      </c>
      <c r="B131" s="305">
        <f>H22</f>
        <v>103985.6226454616</v>
      </c>
      <c r="C131" s="292"/>
      <c r="D131" s="292"/>
      <c r="E131" s="292"/>
      <c r="F131" s="292"/>
      <c r="G131" s="292"/>
      <c r="H131" s="292"/>
      <c r="I131" s="293"/>
      <c r="J131" s="292"/>
      <c r="K131" s="292"/>
      <c r="L131" s="292"/>
      <c r="M131" s="163"/>
      <c r="N131" s="163"/>
    </row>
    <row r="132" spans="1:14">
      <c r="A132" s="295" t="s">
        <v>37</v>
      </c>
      <c r="B132" s="292">
        <f>G129/H129</f>
        <v>617.09534311126788</v>
      </c>
      <c r="C132" s="292"/>
      <c r="D132" s="292"/>
      <c r="E132" s="292"/>
      <c r="F132" s="292"/>
      <c r="G132" s="292"/>
      <c r="H132" s="292"/>
      <c r="I132" s="293"/>
      <c r="J132" s="292"/>
      <c r="K132" s="292"/>
      <c r="L132" s="292"/>
      <c r="M132" s="163"/>
      <c r="N132" s="163"/>
    </row>
    <row r="133" spans="1:14">
      <c r="A133" s="295" t="s">
        <v>43</v>
      </c>
      <c r="B133" s="302">
        <f>H10-G10</f>
        <v>20</v>
      </c>
      <c r="C133" s="292"/>
      <c r="D133" s="292"/>
      <c r="E133" s="292"/>
      <c r="F133" s="292"/>
      <c r="G133" s="292"/>
      <c r="H133" s="292"/>
      <c r="I133" s="293"/>
      <c r="J133" s="292"/>
      <c r="K133" s="292"/>
      <c r="L133" s="292"/>
      <c r="M133" s="163"/>
      <c r="N133" s="163"/>
    </row>
    <row r="134" spans="1:14">
      <c r="A134" s="295" t="s">
        <v>44</v>
      </c>
      <c r="B134" s="302">
        <f>G129*360</f>
        <v>23100855654.61438</v>
      </c>
      <c r="C134" s="292"/>
      <c r="D134" s="292"/>
      <c r="E134" s="292"/>
      <c r="F134" s="292"/>
      <c r="G134" s="292"/>
      <c r="H134" s="292"/>
      <c r="I134" s="293"/>
      <c r="J134" s="292"/>
      <c r="K134" s="292"/>
      <c r="L134" s="292"/>
      <c r="M134" s="163"/>
      <c r="N134" s="163"/>
    </row>
    <row r="135" spans="1:14">
      <c r="A135" s="295" t="s">
        <v>40</v>
      </c>
      <c r="B135" s="292">
        <f>K129/H129</f>
        <v>617.09534311126788</v>
      </c>
      <c r="C135" s="292"/>
      <c r="D135" s="292"/>
      <c r="E135" s="292"/>
      <c r="F135" s="292"/>
      <c r="G135" s="292"/>
      <c r="H135" s="292"/>
      <c r="I135" s="293"/>
      <c r="J135" s="292"/>
      <c r="K135" s="292"/>
      <c r="L135" s="292"/>
      <c r="M135" s="163"/>
      <c r="N135" s="163"/>
    </row>
    <row r="136" spans="1:14">
      <c r="A136" s="295" t="s">
        <v>42</v>
      </c>
      <c r="B136" s="306">
        <f>K129/G129-1</f>
        <v>0</v>
      </c>
      <c r="C136" s="292"/>
      <c r="D136" s="292"/>
      <c r="E136" s="292"/>
      <c r="F136" s="292"/>
      <c r="G136" s="292"/>
      <c r="H136" s="292"/>
      <c r="I136" s="293"/>
      <c r="J136" s="292"/>
      <c r="K136" s="292"/>
      <c r="L136" s="292"/>
      <c r="M136" s="163"/>
      <c r="N136" s="163"/>
    </row>
  </sheetData>
  <sheetProtection password="CD86" sheet="1" objects="1" scenarios="1"/>
  <mergeCells count="15">
    <mergeCell ref="A30:C30"/>
    <mergeCell ref="A7:A9"/>
    <mergeCell ref="H48:N48"/>
    <mergeCell ref="D7:H7"/>
    <mergeCell ref="I7:I8"/>
    <mergeCell ref="E30:G30"/>
    <mergeCell ref="J7:J8"/>
    <mergeCell ref="C20:C21"/>
    <mergeCell ref="D20:H20"/>
    <mergeCell ref="L7:L8"/>
    <mergeCell ref="B7:B9"/>
    <mergeCell ref="C7:C9"/>
    <mergeCell ref="A20:A21"/>
    <mergeCell ref="B20:B21"/>
    <mergeCell ref="I20:I21"/>
  </mergeCells>
  <hyperlinks>
    <hyperlink ref="B22" tooltip="C.V.: _x000a_  1.95 %"/>
    <hyperlink ref="B25" tooltip="C.V.: _x000a_  1.95 %"/>
    <hyperlink ref="B26" tooltip="C.V.: _x000a_  1.95 %"/>
    <hyperlink ref="I22:J22" tooltip="C.V.: _x000a_  3.14 %" display="Personas "/>
    <hyperlink ref="D22" tooltip="C.V.: _x000a_  3.14 %"/>
    <hyperlink ref="E22:H22" tooltip="C.V.: _x000a_  3.14 %"/>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AQ232"/>
  <sheetViews>
    <sheetView showGridLines="0" zoomScale="90" zoomScaleNormal="90" zoomScalePageLayoutView="90" workbookViewId="0"/>
  </sheetViews>
  <sheetFormatPr baseColWidth="10" defaultRowHeight="14" x14ac:dyDescent="0"/>
  <cols>
    <col min="1" max="1" width="56" bestFit="1" customWidth="1"/>
    <col min="2" max="2" width="18.83203125" customWidth="1"/>
    <col min="3" max="3" width="26.6640625" bestFit="1" customWidth="1"/>
    <col min="4" max="4" width="13.6640625" customWidth="1"/>
    <col min="5" max="5" width="27.83203125" bestFit="1" customWidth="1"/>
    <col min="6" max="6" width="25.83203125" customWidth="1"/>
    <col min="7" max="7" width="30.6640625" bestFit="1" customWidth="1"/>
    <col min="8" max="8" width="23.1640625" bestFit="1" customWidth="1"/>
    <col min="9" max="9" width="14.5" style="37" customWidth="1"/>
    <col min="10" max="10" width="13.83203125" bestFit="1" customWidth="1"/>
    <col min="11" max="11" width="17.5" bestFit="1" customWidth="1"/>
    <col min="12" max="17" width="13.83203125" bestFit="1" customWidth="1"/>
    <col min="18" max="41" width="12.33203125" bestFit="1" customWidth="1"/>
    <col min="42" max="43" width="11.5" bestFit="1" customWidth="1"/>
  </cols>
  <sheetData>
    <row r="1" spans="1:27">
      <c r="A1" s="160" t="s">
        <v>21</v>
      </c>
      <c r="B1" s="161"/>
      <c r="C1" s="161"/>
      <c r="D1" s="161"/>
      <c r="E1" s="161"/>
      <c r="F1" s="161"/>
      <c r="G1" s="161"/>
      <c r="H1" s="161"/>
      <c r="I1" s="160"/>
      <c r="J1" s="162"/>
      <c r="K1" s="163"/>
      <c r="L1" s="163"/>
      <c r="M1" s="45"/>
      <c r="N1" s="45"/>
      <c r="O1" s="45"/>
      <c r="P1" s="45"/>
      <c r="Q1" s="45"/>
      <c r="R1" s="45"/>
      <c r="S1" s="45"/>
      <c r="T1" s="45"/>
      <c r="U1" s="45"/>
      <c r="V1" s="45"/>
      <c r="W1" s="45"/>
      <c r="X1" s="45"/>
      <c r="Y1" s="45"/>
      <c r="Z1" s="45"/>
      <c r="AA1" s="45"/>
    </row>
    <row r="2" spans="1:27">
      <c r="A2" s="164" t="s">
        <v>65</v>
      </c>
      <c r="B2" s="161"/>
      <c r="C2" s="161"/>
      <c r="D2" s="161"/>
      <c r="E2" s="161"/>
      <c r="F2" s="161"/>
      <c r="G2" s="161"/>
      <c r="H2" s="161"/>
      <c r="I2" s="160"/>
      <c r="J2" s="160"/>
      <c r="K2" s="163"/>
      <c r="L2" s="163"/>
      <c r="M2" s="45"/>
      <c r="N2" s="45"/>
      <c r="O2" s="45"/>
      <c r="P2" s="45"/>
      <c r="Q2" s="45"/>
      <c r="R2" s="45"/>
      <c r="S2" s="45"/>
      <c r="T2" s="45"/>
      <c r="U2" s="45"/>
      <c r="V2" s="45"/>
      <c r="W2" s="45"/>
      <c r="X2" s="45"/>
      <c r="Y2" s="45"/>
      <c r="Z2" s="45"/>
      <c r="AA2" s="45"/>
    </row>
    <row r="3" spans="1:27">
      <c r="A3" s="165"/>
      <c r="B3" s="165"/>
      <c r="C3" s="165"/>
      <c r="D3" s="165"/>
      <c r="E3" s="165"/>
      <c r="F3" s="165"/>
      <c r="G3" s="165"/>
      <c r="H3" s="166"/>
      <c r="I3" s="165"/>
      <c r="J3" s="308"/>
      <c r="K3" s="163"/>
      <c r="L3" s="163"/>
      <c r="M3" s="45"/>
      <c r="N3" s="45"/>
      <c r="O3" s="45"/>
      <c r="P3" s="45"/>
      <c r="Q3" s="45"/>
      <c r="R3" s="45"/>
      <c r="S3" s="45"/>
      <c r="T3" s="45"/>
      <c r="U3" s="45"/>
      <c r="V3" s="45"/>
      <c r="W3" s="45"/>
      <c r="X3" s="45"/>
      <c r="Y3" s="45"/>
      <c r="Z3" s="45"/>
      <c r="AA3" s="45"/>
    </row>
    <row r="4" spans="1:27">
      <c r="A4" s="169"/>
      <c r="B4" s="309"/>
      <c r="C4" s="309"/>
      <c r="D4" s="309"/>
      <c r="E4" s="309"/>
      <c r="F4" s="309"/>
      <c r="G4" s="309"/>
      <c r="H4" s="309"/>
      <c r="I4" s="309"/>
      <c r="J4" s="170"/>
      <c r="K4" s="163"/>
      <c r="L4" s="163"/>
      <c r="M4" s="45"/>
      <c r="N4" s="45"/>
      <c r="O4" s="45"/>
      <c r="P4" s="45"/>
      <c r="Q4" s="45"/>
      <c r="R4" s="45"/>
      <c r="S4" s="45"/>
      <c r="T4" s="45"/>
      <c r="U4" s="45"/>
      <c r="V4" s="45"/>
      <c r="W4" s="45"/>
      <c r="X4" s="45"/>
      <c r="Y4" s="45"/>
      <c r="Z4" s="45"/>
      <c r="AA4" s="45"/>
    </row>
    <row r="5" spans="1:27">
      <c r="A5" s="169"/>
      <c r="B5" s="165"/>
      <c r="C5" s="165"/>
      <c r="D5" s="309"/>
      <c r="E5" s="309"/>
      <c r="F5" s="309"/>
      <c r="G5" s="309"/>
      <c r="H5" s="309"/>
      <c r="I5" s="165"/>
      <c r="J5" s="170"/>
      <c r="K5" s="163"/>
      <c r="L5" s="163"/>
      <c r="M5" s="45"/>
      <c r="N5" s="45"/>
      <c r="O5" s="45"/>
      <c r="P5" s="45"/>
      <c r="Q5" s="45"/>
      <c r="R5" s="45"/>
      <c r="S5" s="45"/>
      <c r="T5" s="45"/>
      <c r="U5" s="45"/>
      <c r="V5" s="45"/>
      <c r="W5" s="45"/>
      <c r="X5" s="45"/>
      <c r="Y5" s="45"/>
      <c r="Z5" s="45"/>
      <c r="AA5" s="45"/>
    </row>
    <row r="6" spans="1:27" ht="15" thickBot="1">
      <c r="A6" s="172" t="s">
        <v>185</v>
      </c>
      <c r="B6" s="165"/>
      <c r="C6" s="165"/>
      <c r="D6" s="309"/>
      <c r="E6" s="165">
        <f>2*B10</f>
        <v>131.06</v>
      </c>
      <c r="F6" s="165">
        <f>3*B10</f>
        <v>196.59</v>
      </c>
      <c r="G6" s="165">
        <f>5*B10</f>
        <v>327.64999999999998</v>
      </c>
      <c r="H6" s="165">
        <f>25*B10</f>
        <v>1638.25</v>
      </c>
      <c r="I6" s="165"/>
      <c r="J6" s="170"/>
      <c r="K6" s="163"/>
      <c r="L6" s="163"/>
      <c r="M6" s="45"/>
      <c r="N6" s="45"/>
      <c r="O6" s="45"/>
      <c r="P6" s="45"/>
      <c r="Q6" s="45"/>
      <c r="R6" s="45"/>
      <c r="S6" s="45"/>
      <c r="T6" s="45"/>
      <c r="U6" s="45"/>
      <c r="V6" s="45"/>
      <c r="W6" s="45"/>
      <c r="X6" s="45"/>
      <c r="Y6" s="45"/>
      <c r="Z6" s="45"/>
      <c r="AA6" s="45"/>
    </row>
    <row r="7" spans="1:27" ht="14.5" customHeight="1">
      <c r="A7" s="764" t="s">
        <v>92</v>
      </c>
      <c r="B7" s="752" t="s">
        <v>162</v>
      </c>
      <c r="C7" s="752" t="s">
        <v>84</v>
      </c>
      <c r="D7" s="749" t="s">
        <v>5</v>
      </c>
      <c r="E7" s="750"/>
      <c r="F7" s="750"/>
      <c r="G7" s="750"/>
      <c r="H7" s="751"/>
      <c r="I7" s="752" t="s">
        <v>84</v>
      </c>
      <c r="J7" s="755"/>
      <c r="K7" s="163"/>
      <c r="L7" s="163"/>
      <c r="M7" s="45"/>
      <c r="N7" s="45"/>
      <c r="O7" s="45"/>
      <c r="P7" s="45"/>
      <c r="Q7" s="45"/>
      <c r="R7" s="45"/>
      <c r="S7" s="45"/>
      <c r="T7" s="45"/>
      <c r="U7" s="45"/>
      <c r="V7" s="45"/>
      <c r="W7" s="45"/>
      <c r="X7" s="45"/>
      <c r="Y7" s="45"/>
      <c r="Z7" s="45"/>
      <c r="AA7" s="45"/>
    </row>
    <row r="8" spans="1:27" ht="29" thickBot="1">
      <c r="A8" s="765"/>
      <c r="B8" s="758"/>
      <c r="C8" s="758"/>
      <c r="D8" s="173" t="s">
        <v>6</v>
      </c>
      <c r="E8" s="174" t="s">
        <v>7</v>
      </c>
      <c r="F8" s="174" t="s">
        <v>8</v>
      </c>
      <c r="G8" s="174" t="s">
        <v>9</v>
      </c>
      <c r="H8" s="174" t="s">
        <v>258</v>
      </c>
      <c r="I8" s="753" t="s">
        <v>84</v>
      </c>
      <c r="J8" s="756" t="s">
        <v>12</v>
      </c>
      <c r="K8" s="163"/>
      <c r="L8" s="163"/>
      <c r="M8" s="45"/>
      <c r="N8" s="45"/>
      <c r="O8" s="45"/>
      <c r="P8" s="45"/>
      <c r="Q8" s="45"/>
      <c r="R8" s="45"/>
      <c r="S8" s="45"/>
      <c r="T8" s="45"/>
      <c r="U8" s="45"/>
      <c r="V8" s="45"/>
      <c r="W8" s="45"/>
      <c r="X8" s="45"/>
      <c r="Y8" s="45"/>
      <c r="Z8" s="45"/>
      <c r="AA8" s="45"/>
    </row>
    <row r="9" spans="1:27" ht="15" thickBot="1">
      <c r="A9" s="765"/>
      <c r="B9" s="758"/>
      <c r="C9" s="758"/>
      <c r="D9" s="175">
        <f>B10</f>
        <v>65.53</v>
      </c>
      <c r="E9" s="176" t="s">
        <v>337</v>
      </c>
      <c r="F9" s="176" t="s">
        <v>336</v>
      </c>
      <c r="G9" s="176" t="s">
        <v>338</v>
      </c>
      <c r="H9" s="176" t="s">
        <v>339</v>
      </c>
      <c r="I9" s="177" t="s">
        <v>85</v>
      </c>
      <c r="J9" s="178"/>
      <c r="K9" s="163"/>
      <c r="L9" s="163"/>
      <c r="M9" s="45"/>
      <c r="N9" s="45"/>
      <c r="O9" s="45"/>
      <c r="P9" s="45"/>
      <c r="Q9" s="45"/>
      <c r="R9" s="45"/>
      <c r="S9" s="45"/>
      <c r="T9" s="45"/>
      <c r="U9" s="45"/>
      <c r="V9" s="45"/>
      <c r="W9" s="45"/>
      <c r="X9" s="45"/>
      <c r="Y9" s="45"/>
      <c r="Z9" s="45"/>
      <c r="AA9" s="45"/>
    </row>
    <row r="10" spans="1:27">
      <c r="A10" s="180" t="s">
        <v>22</v>
      </c>
      <c r="B10" s="181">
        <v>65.53</v>
      </c>
      <c r="C10" s="182" t="s">
        <v>85</v>
      </c>
      <c r="D10" s="183">
        <v>1</v>
      </c>
      <c r="E10" s="184">
        <v>2</v>
      </c>
      <c r="F10" s="184">
        <v>3</v>
      </c>
      <c r="G10" s="184">
        <v>5</v>
      </c>
      <c r="H10" s="184">
        <v>25</v>
      </c>
      <c r="I10" s="185" t="s">
        <v>86</v>
      </c>
      <c r="J10" s="186">
        <f>H10*67*30</f>
        <v>50250</v>
      </c>
      <c r="K10" s="163"/>
      <c r="L10" s="163"/>
      <c r="M10" s="45"/>
      <c r="N10" s="45"/>
      <c r="O10" s="45"/>
      <c r="P10" s="45"/>
      <c r="Q10" s="45"/>
      <c r="R10" s="45"/>
      <c r="S10" s="45"/>
      <c r="T10" s="45"/>
      <c r="U10" s="45"/>
      <c r="V10" s="45"/>
      <c r="W10" s="45"/>
      <c r="X10" s="45"/>
      <c r="Y10" s="45"/>
      <c r="Z10" s="45"/>
      <c r="AA10" s="45"/>
    </row>
    <row r="11" spans="1:27">
      <c r="A11" s="188" t="s">
        <v>168</v>
      </c>
      <c r="B11" s="189"/>
      <c r="C11" s="190"/>
      <c r="D11" s="191">
        <f>D10*$B$10</f>
        <v>65.53</v>
      </c>
      <c r="E11" s="192">
        <f>E10*$B$10</f>
        <v>131.06</v>
      </c>
      <c r="F11" s="192">
        <f>F10*$B$10</f>
        <v>196.59</v>
      </c>
      <c r="G11" s="192">
        <f>G10*$B$10</f>
        <v>327.64999999999998</v>
      </c>
      <c r="H11" s="192">
        <f>H10*$B$10</f>
        <v>1638.25</v>
      </c>
      <c r="I11" s="48" t="s">
        <v>95</v>
      </c>
      <c r="J11" s="165"/>
      <c r="K11" s="163"/>
      <c r="L11" s="163"/>
      <c r="M11" s="45"/>
      <c r="N11" s="45"/>
      <c r="O11" s="45"/>
      <c r="P11" s="45"/>
      <c r="Q11" s="45"/>
      <c r="R11" s="45"/>
      <c r="S11" s="45"/>
      <c r="T11" s="45"/>
      <c r="U11" s="45"/>
      <c r="V11" s="45"/>
      <c r="W11" s="45"/>
      <c r="X11" s="45"/>
      <c r="Y11" s="45"/>
      <c r="Z11" s="45"/>
      <c r="AA11" s="45"/>
    </row>
    <row r="12" spans="1:27">
      <c r="A12" s="194" t="s">
        <v>29</v>
      </c>
      <c r="B12" s="195">
        <v>3.0241148119269998</v>
      </c>
      <c r="C12" s="190"/>
      <c r="D12" s="310"/>
      <c r="E12" s="310"/>
      <c r="F12" s="310"/>
      <c r="G12" s="310"/>
      <c r="H12" s="310"/>
      <c r="I12" s="197"/>
      <c r="J12" s="198">
        <f>H13*30</f>
        <v>39277.822634486118</v>
      </c>
      <c r="K12" s="163" t="s">
        <v>148</v>
      </c>
      <c r="L12" s="163"/>
      <c r="M12" s="45"/>
      <c r="N12" s="45"/>
      <c r="O12" s="45"/>
      <c r="P12" s="45"/>
      <c r="Q12" s="45"/>
      <c r="R12" s="45"/>
      <c r="S12" s="45"/>
      <c r="T12" s="45"/>
      <c r="U12" s="45"/>
      <c r="V12" s="45"/>
      <c r="W12" s="45"/>
      <c r="X12" s="45"/>
      <c r="Y12" s="45"/>
      <c r="Z12" s="45"/>
      <c r="AA12" s="45"/>
    </row>
    <row r="13" spans="1:27">
      <c r="A13" s="188" t="s">
        <v>165</v>
      </c>
      <c r="B13" s="311"/>
      <c r="C13" s="190"/>
      <c r="D13" s="191">
        <f>B10</f>
        <v>65.53</v>
      </c>
      <c r="E13" s="192">
        <f>B65</f>
        <v>114.61053772414353</v>
      </c>
      <c r="F13" s="192">
        <f>B87</f>
        <v>180.14053772414351</v>
      </c>
      <c r="G13" s="192">
        <f>B109</f>
        <v>294.75107544828705</v>
      </c>
      <c r="H13" s="192">
        <f>B132</f>
        <v>1309.2607544828707</v>
      </c>
      <c r="I13" s="48" t="s">
        <v>95</v>
      </c>
      <c r="J13" s="200">
        <f>5*67*30</f>
        <v>10050</v>
      </c>
      <c r="K13" s="163"/>
      <c r="L13" s="163"/>
      <c r="M13" s="45"/>
      <c r="N13" s="45"/>
      <c r="O13" s="45"/>
      <c r="P13" s="45"/>
      <c r="Q13" s="45"/>
      <c r="R13" s="45"/>
      <c r="S13" s="45"/>
      <c r="T13" s="45"/>
      <c r="U13" s="45"/>
      <c r="V13" s="45"/>
      <c r="W13" s="45"/>
      <c r="X13" s="45"/>
      <c r="Y13" s="45"/>
      <c r="Z13" s="45"/>
      <c r="AA13" s="45"/>
    </row>
    <row r="14" spans="1:27">
      <c r="A14" s="201" t="s">
        <v>166</v>
      </c>
      <c r="B14" s="202">
        <f>'Principal T'!J5</f>
        <v>85</v>
      </c>
      <c r="C14" s="203" t="s">
        <v>85</v>
      </c>
      <c r="D14" s="204"/>
      <c r="E14" s="204"/>
      <c r="F14" s="204"/>
      <c r="G14" s="204"/>
      <c r="H14" s="204"/>
      <c r="I14" s="206"/>
      <c r="J14" s="200"/>
      <c r="K14" s="163"/>
      <c r="L14" s="163"/>
      <c r="M14" s="45"/>
      <c r="N14" s="45"/>
      <c r="O14" s="45"/>
      <c r="P14" s="45"/>
      <c r="Q14" s="45"/>
      <c r="R14" s="45"/>
      <c r="S14" s="45"/>
      <c r="T14" s="45"/>
      <c r="U14" s="45"/>
      <c r="V14" s="45"/>
      <c r="W14" s="45"/>
      <c r="X14" s="45"/>
      <c r="Y14" s="45"/>
      <c r="Z14" s="45"/>
      <c r="AA14" s="45"/>
    </row>
    <row r="15" spans="1:27">
      <c r="A15" s="207" t="s">
        <v>169</v>
      </c>
      <c r="B15" s="208">
        <f>(B14/B10)-1</f>
        <v>0.29711582481306276</v>
      </c>
      <c r="C15" s="203"/>
      <c r="D15" s="204"/>
      <c r="E15" s="204"/>
      <c r="F15" s="204"/>
      <c r="G15" s="204"/>
      <c r="H15" s="204"/>
      <c r="I15" s="206"/>
      <c r="J15" s="200"/>
      <c r="K15" s="163"/>
      <c r="L15" s="163"/>
      <c r="M15" s="45"/>
      <c r="N15" s="45"/>
      <c r="O15" s="45"/>
      <c r="P15" s="45"/>
      <c r="Q15" s="45"/>
      <c r="R15" s="45"/>
      <c r="S15" s="45"/>
      <c r="T15" s="45"/>
      <c r="U15" s="45"/>
      <c r="V15" s="45"/>
      <c r="W15" s="45"/>
      <c r="X15" s="45"/>
      <c r="Y15" s="45"/>
      <c r="Z15" s="45"/>
      <c r="AA15" s="45"/>
    </row>
    <row r="16" spans="1:27">
      <c r="A16" s="207" t="s">
        <v>170</v>
      </c>
      <c r="B16" s="202"/>
      <c r="C16" s="203"/>
      <c r="D16" s="209">
        <f>B14</f>
        <v>85</v>
      </c>
      <c r="E16" s="210">
        <f>IF(E11&gt;B14,E11,B14)</f>
        <v>131.06</v>
      </c>
      <c r="F16" s="210">
        <f>IF(F11&gt;B14,F11,B14)</f>
        <v>196.59</v>
      </c>
      <c r="G16" s="210">
        <f>IF(G11&gt;B14,G11,B14)</f>
        <v>327.64999999999998</v>
      </c>
      <c r="H16" s="210">
        <f>IF(H11&gt;B14,H11,B14)</f>
        <v>1638.25</v>
      </c>
      <c r="I16" s="206" t="s">
        <v>95</v>
      </c>
      <c r="J16" s="200"/>
      <c r="K16" s="163"/>
      <c r="L16" s="163"/>
      <c r="M16" s="45"/>
      <c r="N16" s="45"/>
      <c r="O16" s="45"/>
      <c r="P16" s="45"/>
      <c r="Q16" s="45"/>
      <c r="R16" s="45"/>
      <c r="S16" s="45"/>
      <c r="T16" s="45"/>
      <c r="U16" s="45"/>
      <c r="V16" s="45"/>
      <c r="W16" s="45"/>
      <c r="X16" s="45"/>
      <c r="Y16" s="45"/>
      <c r="Z16" s="45"/>
      <c r="AA16" s="45"/>
    </row>
    <row r="17" spans="1:27" ht="15" thickBot="1">
      <c r="A17" s="213" t="s">
        <v>167</v>
      </c>
      <c r="B17" s="214">
        <f>(B27*1000000)/B22</f>
        <v>265.7006026243476</v>
      </c>
      <c r="C17" s="215"/>
      <c r="D17" s="216">
        <f>D16</f>
        <v>85</v>
      </c>
      <c r="E17" s="217">
        <f>B68</f>
        <v>114.74814209766659</v>
      </c>
      <c r="F17" s="217">
        <f>B90</f>
        <v>180.14053772414351</v>
      </c>
      <c r="G17" s="217">
        <f>B112</f>
        <v>294.75107544828705</v>
      </c>
      <c r="H17" s="217">
        <f>B135</f>
        <v>1309.2607544828707</v>
      </c>
      <c r="I17" s="219" t="s">
        <v>95</v>
      </c>
      <c r="J17" s="200"/>
      <c r="K17" s="163"/>
      <c r="L17" s="163"/>
      <c r="M17" s="45"/>
      <c r="N17" s="45"/>
      <c r="O17" s="45"/>
      <c r="P17" s="45"/>
      <c r="Q17" s="45"/>
      <c r="R17" s="45"/>
      <c r="S17" s="45"/>
      <c r="T17" s="45"/>
      <c r="U17" s="45"/>
      <c r="V17" s="45"/>
      <c r="W17" s="45"/>
      <c r="X17" s="45"/>
      <c r="Y17" s="45"/>
      <c r="Z17" s="45"/>
      <c r="AA17" s="45"/>
    </row>
    <row r="18" spans="1:27">
      <c r="A18" s="312"/>
      <c r="B18" s="313"/>
      <c r="C18" s="314"/>
      <c r="D18" s="315"/>
      <c r="E18" s="316"/>
      <c r="F18" s="316"/>
      <c r="G18" s="316"/>
      <c r="H18" s="316"/>
      <c r="I18" s="316"/>
      <c r="J18" s="316"/>
      <c r="K18" s="163"/>
      <c r="L18" s="163"/>
      <c r="M18" s="45"/>
      <c r="N18" s="45"/>
      <c r="O18" s="45"/>
      <c r="P18" s="45"/>
      <c r="Q18" s="45"/>
      <c r="R18" s="45"/>
      <c r="S18" s="45"/>
      <c r="T18" s="45"/>
      <c r="U18" s="45"/>
      <c r="V18" s="45"/>
      <c r="W18" s="45"/>
      <c r="X18" s="45"/>
      <c r="Y18" s="45"/>
      <c r="Z18" s="45"/>
      <c r="AA18" s="45"/>
    </row>
    <row r="19" spans="1:27" ht="15" thickBot="1">
      <c r="A19" s="172" t="s">
        <v>184</v>
      </c>
      <c r="B19" s="313"/>
      <c r="C19" s="314"/>
      <c r="D19" s="315"/>
      <c r="E19" s="316"/>
      <c r="F19" s="316"/>
      <c r="G19" s="316"/>
      <c r="H19" s="316"/>
      <c r="I19" s="316"/>
      <c r="J19" s="316"/>
      <c r="K19" s="163"/>
      <c r="L19" s="163"/>
      <c r="M19" s="45"/>
      <c r="N19" s="45"/>
      <c r="O19" s="45"/>
      <c r="P19" s="45"/>
      <c r="Q19" s="45"/>
      <c r="R19" s="45"/>
      <c r="S19" s="45"/>
      <c r="T19" s="45"/>
      <c r="U19" s="45"/>
      <c r="V19" s="45"/>
      <c r="W19" s="45"/>
      <c r="X19" s="45"/>
      <c r="Y19" s="45"/>
      <c r="Z19" s="45"/>
      <c r="AA19" s="45"/>
    </row>
    <row r="20" spans="1:27">
      <c r="A20" s="759" t="s">
        <v>161</v>
      </c>
      <c r="B20" s="752" t="s">
        <v>162</v>
      </c>
      <c r="C20" s="752" t="s">
        <v>84</v>
      </c>
      <c r="D20" s="749" t="s">
        <v>5</v>
      </c>
      <c r="E20" s="750"/>
      <c r="F20" s="750"/>
      <c r="G20" s="750"/>
      <c r="H20" s="750"/>
      <c r="I20" s="752" t="s">
        <v>84</v>
      </c>
      <c r="J20" s="755"/>
      <c r="K20" s="163"/>
      <c r="L20" s="163"/>
      <c r="M20" s="45"/>
      <c r="N20" s="45"/>
      <c r="O20" s="45"/>
      <c r="P20" s="45"/>
      <c r="Q20" s="45"/>
      <c r="R20" s="45"/>
      <c r="S20" s="45"/>
      <c r="T20" s="45"/>
      <c r="U20" s="45"/>
      <c r="V20" s="45"/>
      <c r="W20" s="45"/>
      <c r="X20" s="45"/>
      <c r="Y20" s="45"/>
      <c r="Z20" s="45"/>
      <c r="AA20" s="45"/>
    </row>
    <row r="21" spans="1:27" ht="49.25" customHeight="1" thickBot="1">
      <c r="A21" s="760"/>
      <c r="B21" s="753"/>
      <c r="C21" s="753"/>
      <c r="D21" s="173" t="s">
        <v>6</v>
      </c>
      <c r="E21" s="174" t="s">
        <v>7</v>
      </c>
      <c r="F21" s="174" t="s">
        <v>8</v>
      </c>
      <c r="G21" s="174" t="s">
        <v>9</v>
      </c>
      <c r="H21" s="174" t="s">
        <v>258</v>
      </c>
      <c r="I21" s="753"/>
      <c r="J21" s="756"/>
      <c r="K21" s="163"/>
      <c r="L21" s="163"/>
      <c r="M21" s="45"/>
      <c r="N21" s="45"/>
      <c r="O21" s="45"/>
      <c r="P21" s="45"/>
      <c r="Q21" s="45"/>
      <c r="R21" s="45"/>
      <c r="S21" s="45"/>
      <c r="T21" s="45"/>
      <c r="U21" s="45"/>
      <c r="V21" s="45"/>
      <c r="W21" s="45"/>
      <c r="X21" s="45"/>
      <c r="Y21" s="45"/>
      <c r="Z21" s="45"/>
      <c r="AA21" s="45"/>
    </row>
    <row r="22" spans="1:27">
      <c r="A22" s="229" t="s">
        <v>160</v>
      </c>
      <c r="B22" s="230">
        <f>SUM(D22:H22)</f>
        <v>3592871</v>
      </c>
      <c r="C22" s="185" t="s">
        <v>86</v>
      </c>
      <c r="D22" s="231">
        <f>'[1]Construcción H'!D22+'[1]Construcción M'!D22</f>
        <v>221587.10288402837</v>
      </c>
      <c r="E22" s="232">
        <f>'[1]Construcción H'!E22+'[1]Construcción M'!E22</f>
        <v>737103.93174928729</v>
      </c>
      <c r="F22" s="232">
        <f>'[1]Construcción H'!F22+'[1]Construcción M'!F22</f>
        <v>1496211.8343039651</v>
      </c>
      <c r="G22" s="232">
        <f>'[1]Construcción H'!G22+'[1]Construcción M'!G22</f>
        <v>895224.2226928391</v>
      </c>
      <c r="H22" s="232">
        <f>'[1]Construcción H'!H22+'[1]Construcción M'!H22</f>
        <v>242743.90836987994</v>
      </c>
      <c r="I22" s="185" t="s">
        <v>86</v>
      </c>
      <c r="J22" s="186"/>
      <c r="K22" s="163"/>
      <c r="L22" s="163"/>
      <c r="M22" s="45"/>
      <c r="N22" s="45"/>
      <c r="O22" s="45"/>
      <c r="P22" s="45"/>
      <c r="Q22" s="45"/>
      <c r="R22" s="45"/>
      <c r="S22" s="45"/>
      <c r="T22" s="45"/>
      <c r="U22" s="45"/>
      <c r="V22" s="45"/>
      <c r="W22" s="45"/>
      <c r="X22" s="45"/>
      <c r="Y22" s="45"/>
      <c r="Z22" s="45"/>
      <c r="AA22" s="45"/>
    </row>
    <row r="23" spans="1:27">
      <c r="A23" s="194" t="s">
        <v>345</v>
      </c>
      <c r="B23" s="233">
        <f>SUM(D23:H23)/1000000</f>
        <v>950.21226023364068</v>
      </c>
      <c r="C23" s="48" t="s">
        <v>87</v>
      </c>
      <c r="D23" s="231">
        <f>D22*B10</f>
        <v>14520602.851990379</v>
      </c>
      <c r="E23" s="232">
        <f>G62</f>
        <v>84479877.976366177</v>
      </c>
      <c r="F23" s="232">
        <f>G84</f>
        <v>269528404.38074332</v>
      </c>
      <c r="G23" s="232">
        <f>G106</f>
        <v>263868302.40607107</v>
      </c>
      <c r="H23" s="232">
        <f>G129</f>
        <v>317815072.61846972</v>
      </c>
      <c r="I23" s="234" t="s">
        <v>246</v>
      </c>
      <c r="J23" s="165"/>
      <c r="K23" s="163"/>
      <c r="L23" s="163"/>
      <c r="M23" s="45"/>
      <c r="N23" s="45"/>
      <c r="O23" s="45"/>
      <c r="P23" s="45"/>
      <c r="Q23" s="45"/>
      <c r="R23" s="45"/>
      <c r="S23" s="45"/>
      <c r="T23" s="45"/>
      <c r="U23" s="45"/>
      <c r="V23" s="45"/>
      <c r="W23" s="45"/>
      <c r="X23" s="45"/>
      <c r="Y23" s="45"/>
      <c r="Z23" s="45"/>
      <c r="AA23" s="45"/>
    </row>
    <row r="24" spans="1:27">
      <c r="A24" s="194" t="s">
        <v>23</v>
      </c>
      <c r="B24" s="235"/>
      <c r="C24" s="48"/>
      <c r="D24" s="231"/>
      <c r="E24" s="232"/>
      <c r="F24" s="232"/>
      <c r="G24" s="232"/>
      <c r="H24" s="232"/>
      <c r="I24" s="236"/>
      <c r="J24" s="198"/>
      <c r="K24" s="163"/>
      <c r="L24" s="163"/>
      <c r="M24" s="45"/>
      <c r="N24" s="45"/>
      <c r="O24" s="45"/>
      <c r="P24" s="45"/>
      <c r="Q24" s="45"/>
      <c r="R24" s="45"/>
      <c r="S24" s="45"/>
      <c r="T24" s="45"/>
      <c r="U24" s="45"/>
      <c r="V24" s="45"/>
      <c r="W24" s="45"/>
      <c r="X24" s="45"/>
      <c r="Y24" s="45"/>
      <c r="Z24" s="45"/>
      <c r="AA24" s="45"/>
    </row>
    <row r="25" spans="1:27">
      <c r="A25" s="237" t="s">
        <v>24</v>
      </c>
      <c r="B25" s="238">
        <f>SUM(D25:H25)</f>
        <v>240919.39591214809</v>
      </c>
      <c r="C25" s="48" t="s">
        <v>86</v>
      </c>
      <c r="D25" s="231">
        <f>D22</f>
        <v>221587.10288402837</v>
      </c>
      <c r="E25" s="232">
        <f>L62</f>
        <v>19332.293028119726</v>
      </c>
      <c r="F25" s="232">
        <f>L84</f>
        <v>0</v>
      </c>
      <c r="G25" s="232">
        <f>L106</f>
        <v>0</v>
      </c>
      <c r="H25" s="232">
        <f>L129</f>
        <v>0</v>
      </c>
      <c r="I25" s="48" t="s">
        <v>86</v>
      </c>
      <c r="J25" s="200"/>
      <c r="K25" s="163"/>
      <c r="L25" s="163"/>
      <c r="M25" s="45"/>
      <c r="N25" s="45"/>
      <c r="O25" s="45"/>
      <c r="P25" s="45"/>
      <c r="Q25" s="45"/>
      <c r="R25" s="45"/>
      <c r="S25" s="45"/>
      <c r="T25" s="45"/>
      <c r="U25" s="45"/>
      <c r="V25" s="45"/>
      <c r="W25" s="45"/>
      <c r="X25" s="45"/>
      <c r="Y25" s="45"/>
      <c r="Z25" s="45"/>
      <c r="AA25" s="45"/>
    </row>
    <row r="26" spans="1:27">
      <c r="A26" s="237" t="s">
        <v>25</v>
      </c>
      <c r="B26" s="238">
        <f>SUM(D26:H26)</f>
        <v>3351951.6040878519</v>
      </c>
      <c r="C26" s="48" t="s">
        <v>86</v>
      </c>
      <c r="D26" s="231"/>
      <c r="E26" s="232">
        <f>E22-E25</f>
        <v>717771.63872116758</v>
      </c>
      <c r="F26" s="232">
        <f>F22-F25</f>
        <v>1496211.8343039651</v>
      </c>
      <c r="G26" s="232">
        <f>G22</f>
        <v>895224.2226928391</v>
      </c>
      <c r="H26" s="232">
        <f>H22</f>
        <v>242743.90836987994</v>
      </c>
      <c r="I26" s="48" t="s">
        <v>86</v>
      </c>
      <c r="J26" s="200"/>
      <c r="K26" s="163"/>
      <c r="L26" s="163"/>
      <c r="M26" s="45"/>
      <c r="N26" s="45"/>
      <c r="O26" s="45"/>
      <c r="P26" s="45"/>
      <c r="Q26" s="45"/>
      <c r="R26" s="45"/>
      <c r="S26" s="45"/>
      <c r="T26" s="45"/>
      <c r="U26" s="45"/>
      <c r="V26" s="45"/>
      <c r="W26" s="45"/>
      <c r="X26" s="45"/>
      <c r="Y26" s="45"/>
      <c r="Z26" s="45"/>
      <c r="AA26" s="45"/>
    </row>
    <row r="27" spans="1:27" ht="15" thickBot="1">
      <c r="A27" s="239" t="s">
        <v>346</v>
      </c>
      <c r="B27" s="240">
        <f>SUM(D27:H27)/1000000</f>
        <v>954.62798985154245</v>
      </c>
      <c r="C27" s="50" t="s">
        <v>87</v>
      </c>
      <c r="D27" s="241">
        <f>D25*D17</f>
        <v>18834903.745142411</v>
      </c>
      <c r="E27" s="242">
        <f>K62</f>
        <v>84581306.701115921</v>
      </c>
      <c r="F27" s="242">
        <f>K84</f>
        <v>269528404.38074332</v>
      </c>
      <c r="G27" s="242">
        <f>K106</f>
        <v>263868302.40607107</v>
      </c>
      <c r="H27" s="242">
        <f>K129</f>
        <v>317815072.61846972</v>
      </c>
      <c r="I27" s="243" t="s">
        <v>90</v>
      </c>
      <c r="J27" s="200"/>
      <c r="K27" s="163"/>
      <c r="L27" s="163"/>
      <c r="M27" s="45"/>
      <c r="N27" s="45"/>
      <c r="O27" s="45"/>
      <c r="P27" s="45"/>
      <c r="Q27" s="45"/>
      <c r="R27" s="45"/>
      <c r="S27" s="45"/>
      <c r="T27" s="45"/>
      <c r="U27" s="45"/>
      <c r="V27" s="45"/>
      <c r="W27" s="45"/>
      <c r="X27" s="45"/>
      <c r="Y27" s="45"/>
      <c r="Z27" s="45"/>
      <c r="AA27" s="45"/>
    </row>
    <row r="28" spans="1:27" ht="15" thickBot="1">
      <c r="A28" s="244" t="s">
        <v>245</v>
      </c>
      <c r="B28" s="245">
        <f>((D23*D28)+(E23*E28)+(F23*F28)+(G23*G28)+(H23*H28))/(B23*1000000)</f>
        <v>0.16595873642158332</v>
      </c>
      <c r="C28" s="51"/>
      <c r="D28" s="246">
        <v>6.4000000000000001E-2</v>
      </c>
      <c r="E28" s="246">
        <v>6.4000000000000001E-2</v>
      </c>
      <c r="F28" s="247">
        <v>0.10879999999999999</v>
      </c>
      <c r="G28" s="247">
        <v>0.1792</v>
      </c>
      <c r="H28" s="246">
        <v>0.23519999999999999</v>
      </c>
      <c r="I28" s="248"/>
      <c r="J28" s="316"/>
      <c r="K28" s="163"/>
      <c r="L28" s="163"/>
      <c r="M28" s="45"/>
      <c r="N28" s="45"/>
      <c r="O28" s="45"/>
      <c r="P28" s="45"/>
      <c r="Q28" s="45"/>
      <c r="R28" s="45"/>
      <c r="S28" s="45"/>
      <c r="T28" s="45"/>
      <c r="U28" s="45"/>
      <c r="V28" s="45"/>
      <c r="W28" s="45"/>
      <c r="X28" s="45"/>
      <c r="Y28" s="45"/>
      <c r="Z28" s="45"/>
      <c r="AA28" s="45"/>
    </row>
    <row r="29" spans="1:27" ht="15" thickBot="1">
      <c r="A29" s="172" t="s">
        <v>183</v>
      </c>
      <c r="B29" s="317"/>
      <c r="C29" s="51"/>
      <c r="D29" s="250"/>
      <c r="E29" s="250"/>
      <c r="F29" s="250"/>
      <c r="G29" s="250"/>
      <c r="H29" s="250"/>
      <c r="I29" s="248"/>
      <c r="J29" s="316"/>
      <c r="K29" s="163"/>
      <c r="L29" s="163"/>
      <c r="M29" s="45"/>
      <c r="N29" s="45"/>
      <c r="O29" s="45"/>
      <c r="P29" s="45"/>
      <c r="Q29" s="45"/>
      <c r="R29" s="45"/>
      <c r="S29" s="45"/>
      <c r="T29" s="45"/>
      <c r="U29" s="45"/>
      <c r="V29" s="45"/>
      <c r="W29" s="45"/>
      <c r="X29" s="45"/>
      <c r="Y29" s="45"/>
      <c r="Z29" s="45"/>
      <c r="AA29" s="45"/>
    </row>
    <row r="30" spans="1:27">
      <c r="A30" s="761" t="s">
        <v>91</v>
      </c>
      <c r="B30" s="762"/>
      <c r="C30" s="763"/>
      <c r="D30" s="250"/>
      <c r="E30" s="250"/>
      <c r="F30" s="250"/>
      <c r="G30" s="250"/>
      <c r="H30" s="250"/>
      <c r="I30" s="248"/>
      <c r="J30" s="250"/>
      <c r="K30" s="163"/>
      <c r="L30" s="163"/>
      <c r="M30" s="45"/>
      <c r="N30" s="45"/>
      <c r="O30" s="45"/>
      <c r="P30" s="45"/>
      <c r="Q30" s="45"/>
      <c r="R30" s="45"/>
      <c r="S30" s="45"/>
      <c r="T30" s="45"/>
      <c r="U30" s="45"/>
      <c r="V30" s="45"/>
      <c r="W30" s="45"/>
      <c r="X30" s="45"/>
      <c r="Y30" s="45"/>
      <c r="Z30" s="45"/>
      <c r="AA30" s="45"/>
    </row>
    <row r="31" spans="1:27" ht="15" thickBot="1">
      <c r="A31" s="318" t="s">
        <v>92</v>
      </c>
      <c r="B31" s="253" t="s">
        <v>93</v>
      </c>
      <c r="C31" s="254" t="s">
        <v>94</v>
      </c>
      <c r="D31" s="250"/>
      <c r="E31" s="250"/>
      <c r="F31" s="250"/>
      <c r="G31" s="250"/>
      <c r="H31" s="250"/>
      <c r="I31" s="250"/>
      <c r="J31" s="250"/>
      <c r="K31" s="163"/>
      <c r="L31" s="163"/>
      <c r="M31" s="45"/>
      <c r="N31" s="45"/>
      <c r="O31" s="45"/>
      <c r="P31" s="45"/>
      <c r="Q31" s="45"/>
      <c r="R31" s="45"/>
      <c r="S31" s="45"/>
      <c r="T31" s="45"/>
      <c r="U31" s="45"/>
      <c r="V31" s="45"/>
      <c r="W31" s="45"/>
      <c r="X31" s="45"/>
      <c r="Y31" s="45"/>
      <c r="Z31" s="45"/>
      <c r="AA31" s="45"/>
    </row>
    <row r="32" spans="1:27">
      <c r="A32" s="229" t="s">
        <v>252</v>
      </c>
      <c r="B32" s="256">
        <f>B27-B23</f>
        <v>4.4157296179017749</v>
      </c>
      <c r="C32" s="158" t="s">
        <v>87</v>
      </c>
      <c r="D32" s="250"/>
      <c r="E32" s="319"/>
      <c r="F32" s="320"/>
      <c r="G32" s="320"/>
      <c r="H32" s="250"/>
      <c r="I32" s="250"/>
      <c r="J32" s="250"/>
      <c r="K32" s="163"/>
      <c r="L32" s="163"/>
      <c r="M32" s="45"/>
      <c r="N32" s="45"/>
      <c r="O32" s="45"/>
      <c r="P32" s="45"/>
      <c r="Q32" s="45"/>
      <c r="R32" s="45"/>
      <c r="S32" s="45"/>
      <c r="T32" s="45"/>
      <c r="U32" s="45"/>
      <c r="V32" s="45"/>
      <c r="W32" s="45"/>
      <c r="X32" s="45"/>
      <c r="Y32" s="45"/>
      <c r="Z32" s="45"/>
      <c r="AA32" s="45"/>
    </row>
    <row r="33" spans="1:43">
      <c r="A33" s="257" t="s">
        <v>251</v>
      </c>
      <c r="B33" s="321">
        <f>B32*360</f>
        <v>1589.662662444639</v>
      </c>
      <c r="C33" s="52" t="s">
        <v>87</v>
      </c>
      <c r="D33" s="250"/>
      <c r="E33" s="319"/>
      <c r="F33" s="320"/>
      <c r="G33" s="320"/>
      <c r="H33" s="250"/>
      <c r="I33" s="250"/>
      <c r="J33" s="250"/>
      <c r="K33" s="163"/>
      <c r="L33" s="163"/>
      <c r="M33" s="45"/>
      <c r="N33" s="45"/>
      <c r="O33" s="45"/>
      <c r="P33" s="45"/>
      <c r="Q33" s="45"/>
      <c r="R33" s="45"/>
      <c r="S33" s="45"/>
      <c r="T33" s="45"/>
      <c r="U33" s="45"/>
      <c r="V33" s="45"/>
      <c r="W33" s="45"/>
      <c r="X33" s="45"/>
      <c r="Y33" s="45"/>
      <c r="Z33" s="45"/>
      <c r="AA33" s="45"/>
    </row>
    <row r="34" spans="1:43">
      <c r="A34" s="257" t="s">
        <v>253</v>
      </c>
      <c r="B34" s="258">
        <f>B33*(1+B28)</f>
        <v>1853.4810692405213</v>
      </c>
      <c r="C34" s="52"/>
      <c r="D34" s="250"/>
      <c r="E34" s="319"/>
      <c r="F34" s="320"/>
      <c r="G34" s="320"/>
      <c r="H34" s="250"/>
      <c r="I34" s="250"/>
      <c r="J34" s="250"/>
      <c r="K34" s="163"/>
      <c r="L34" s="163"/>
      <c r="M34" s="45"/>
      <c r="N34" s="45"/>
      <c r="O34" s="45"/>
      <c r="P34" s="45"/>
      <c r="Q34" s="45"/>
      <c r="R34" s="45"/>
      <c r="S34" s="45"/>
      <c r="T34" s="45"/>
      <c r="U34" s="45"/>
      <c r="V34" s="45"/>
      <c r="W34" s="45"/>
      <c r="X34" s="45"/>
      <c r="Y34" s="45"/>
      <c r="Z34" s="45"/>
      <c r="AA34" s="45"/>
    </row>
    <row r="35" spans="1:43">
      <c r="A35" s="194" t="s">
        <v>247</v>
      </c>
      <c r="B35" s="262">
        <f>'Efecto piramidado '!C11</f>
        <v>1.1450715944321121E-3</v>
      </c>
      <c r="C35" s="52"/>
      <c r="D35" s="250"/>
      <c r="E35" s="319"/>
      <c r="F35" s="320"/>
      <c r="G35" s="320"/>
      <c r="H35" s="250"/>
      <c r="I35" s="250"/>
      <c r="J35" s="250"/>
      <c r="K35" s="163"/>
      <c r="L35" s="163"/>
      <c r="M35" s="45"/>
      <c r="N35" s="45"/>
      <c r="O35" s="45"/>
      <c r="P35" s="45"/>
      <c r="Q35" s="45"/>
      <c r="R35" s="45"/>
      <c r="S35" s="45"/>
      <c r="T35" s="45"/>
      <c r="U35" s="45"/>
      <c r="V35" s="45"/>
      <c r="W35" s="45"/>
      <c r="X35" s="45"/>
      <c r="Y35" s="45"/>
      <c r="Z35" s="45"/>
      <c r="AA35" s="45"/>
    </row>
    <row r="36" spans="1:43">
      <c r="A36" s="194" t="s">
        <v>248</v>
      </c>
      <c r="B36" s="262">
        <f>'Efecto piramidado '!C12</f>
        <v>3.841477999050818E-3</v>
      </c>
      <c r="C36" s="52"/>
      <c r="D36" s="250"/>
      <c r="E36" s="319"/>
      <c r="F36" s="320"/>
      <c r="G36" s="320"/>
      <c r="H36" s="250"/>
      <c r="I36" s="250"/>
      <c r="J36" s="250"/>
      <c r="K36" s="163"/>
      <c r="L36" s="163"/>
      <c r="M36" s="45"/>
      <c r="N36" s="45"/>
      <c r="O36" s="45"/>
      <c r="P36" s="45"/>
      <c r="Q36" s="45"/>
      <c r="R36" s="45"/>
      <c r="S36" s="45"/>
      <c r="T36" s="45"/>
      <c r="U36" s="45"/>
      <c r="V36" s="45"/>
      <c r="W36" s="45"/>
      <c r="X36" s="45"/>
      <c r="Y36" s="45"/>
      <c r="Z36" s="45"/>
      <c r="AA36" s="45"/>
    </row>
    <row r="37" spans="1:43">
      <c r="A37" s="194" t="s">
        <v>249</v>
      </c>
      <c r="B37" s="262">
        <f>(B34*1000000)/B38</f>
        <v>4.5832729614046297E-3</v>
      </c>
      <c r="C37" s="52"/>
      <c r="D37" s="250"/>
      <c r="E37" s="320"/>
      <c r="F37" s="320"/>
      <c r="G37" s="320"/>
      <c r="H37" s="250"/>
      <c r="I37" s="250"/>
      <c r="J37" s="250"/>
      <c r="K37" s="163"/>
      <c r="L37" s="163"/>
      <c r="M37" s="45"/>
      <c r="N37" s="45"/>
      <c r="O37" s="45"/>
      <c r="P37" s="45"/>
      <c r="Q37" s="45"/>
      <c r="R37" s="45"/>
      <c r="S37" s="45"/>
      <c r="T37" s="45"/>
      <c r="U37" s="45"/>
      <c r="V37" s="45"/>
      <c r="W37" s="45"/>
      <c r="X37" s="45"/>
      <c r="Y37" s="45"/>
      <c r="Z37" s="45"/>
      <c r="AA37" s="45"/>
    </row>
    <row r="38" spans="1:43">
      <c r="A38" s="194" t="s">
        <v>149</v>
      </c>
      <c r="B38" s="266">
        <f>'Valores en precios 2014'!C45*1000000</f>
        <v>404401196448.15729</v>
      </c>
      <c r="C38" s="52" t="s">
        <v>85</v>
      </c>
      <c r="D38" s="250"/>
      <c r="E38" s="320"/>
      <c r="F38" s="320"/>
      <c r="G38" s="320"/>
      <c r="H38" s="250"/>
      <c r="I38" s="250"/>
      <c r="J38" s="250"/>
      <c r="K38" s="163"/>
      <c r="L38" s="163"/>
      <c r="M38" s="45"/>
      <c r="N38" s="45"/>
      <c r="O38" s="45"/>
      <c r="P38" s="45"/>
      <c r="Q38" s="45"/>
      <c r="R38" s="45"/>
      <c r="S38" s="45"/>
      <c r="T38" s="45"/>
      <c r="U38" s="45"/>
      <c r="V38" s="45"/>
      <c r="W38" s="45"/>
      <c r="X38" s="45"/>
      <c r="Y38" s="45"/>
      <c r="Z38" s="45"/>
      <c r="AA38" s="45"/>
    </row>
    <row r="39" spans="1:43">
      <c r="A39" s="269" t="s">
        <v>239</v>
      </c>
      <c r="B39" s="270">
        <f>B38/365/(1+B28)/1000000</f>
        <v>950.24673584932157</v>
      </c>
      <c r="C39" s="52" t="s">
        <v>87</v>
      </c>
      <c r="D39" s="250"/>
      <c r="E39" s="319"/>
      <c r="F39" s="320"/>
      <c r="G39" s="320"/>
      <c r="H39" s="250"/>
      <c r="I39" s="250"/>
      <c r="J39" s="250"/>
      <c r="K39" s="163"/>
      <c r="L39" s="163"/>
      <c r="M39" s="45"/>
      <c r="N39" s="45"/>
      <c r="O39" s="45"/>
      <c r="P39" s="45"/>
      <c r="Q39" s="45"/>
      <c r="R39" s="45"/>
      <c r="S39" s="45"/>
      <c r="T39" s="45"/>
      <c r="U39" s="45"/>
      <c r="V39" s="45"/>
      <c r="W39" s="45"/>
      <c r="X39" s="45"/>
      <c r="Y39" s="45"/>
      <c r="Z39" s="45"/>
      <c r="AA39" s="45"/>
    </row>
    <row r="40" spans="1:43">
      <c r="A40" s="194" t="s">
        <v>235</v>
      </c>
      <c r="B40" s="266">
        <f>B23-B39</f>
        <v>-3.447561568088986E-2</v>
      </c>
      <c r="C40" s="52" t="s">
        <v>87</v>
      </c>
      <c r="D40" s="250"/>
      <c r="E40" s="319"/>
      <c r="F40" s="320"/>
      <c r="G40" s="320"/>
      <c r="H40" s="250"/>
      <c r="I40" s="250"/>
      <c r="J40" s="250"/>
      <c r="K40" s="163"/>
      <c r="L40" s="163"/>
      <c r="M40" s="45"/>
      <c r="N40" s="45"/>
      <c r="O40" s="45"/>
      <c r="P40" s="45"/>
      <c r="Q40" s="45"/>
      <c r="R40" s="45"/>
      <c r="S40" s="45"/>
      <c r="T40" s="45"/>
      <c r="U40" s="45"/>
      <c r="V40" s="45"/>
      <c r="W40" s="45"/>
      <c r="X40" s="45"/>
      <c r="Y40" s="45"/>
      <c r="Z40" s="45"/>
      <c r="AA40" s="45"/>
    </row>
    <row r="41" spans="1:43">
      <c r="A41" s="194" t="s">
        <v>158</v>
      </c>
      <c r="B41" s="272">
        <f>(B23-B39)/B23</f>
        <v>-3.6282015212488315E-5</v>
      </c>
      <c r="C41" s="52"/>
      <c r="D41" s="250"/>
      <c r="E41" s="319"/>
      <c r="F41" s="320"/>
      <c r="G41" s="320"/>
      <c r="H41" s="250"/>
      <c r="I41" s="250"/>
      <c r="J41" s="250"/>
      <c r="K41" s="163"/>
      <c r="L41" s="163"/>
      <c r="M41" s="45"/>
      <c r="N41" s="45"/>
      <c r="O41" s="45"/>
      <c r="P41" s="45"/>
      <c r="Q41" s="45"/>
      <c r="R41" s="45"/>
      <c r="S41" s="45"/>
      <c r="T41" s="45"/>
      <c r="U41" s="45"/>
      <c r="V41" s="45"/>
      <c r="W41" s="45"/>
      <c r="X41" s="45"/>
      <c r="Y41" s="45"/>
      <c r="Z41" s="45"/>
      <c r="AA41" s="45"/>
    </row>
    <row r="42" spans="1:43" s="5" customFormat="1">
      <c r="A42" s="194" t="s">
        <v>347</v>
      </c>
      <c r="B42" s="273">
        <f>($B$27-$B$23)/B14*1000000</f>
        <v>51949.760210609114</v>
      </c>
      <c r="C42" s="52"/>
      <c r="D42" s="322"/>
      <c r="E42" s="322"/>
      <c r="F42" s="322"/>
      <c r="G42" s="322"/>
      <c r="H42" s="322"/>
      <c r="I42" s="322"/>
      <c r="J42" s="322"/>
      <c r="K42" s="322"/>
      <c r="L42" s="250"/>
      <c r="M42" s="6"/>
      <c r="N42" s="6"/>
      <c r="O42" s="6"/>
      <c r="P42" s="6"/>
      <c r="Q42" s="6"/>
      <c r="R42" s="6"/>
      <c r="S42" s="6"/>
      <c r="T42" s="6"/>
      <c r="U42" s="6"/>
      <c r="V42" s="49"/>
      <c r="W42" s="6"/>
      <c r="X42" s="6"/>
      <c r="Y42" s="6"/>
      <c r="Z42" s="6"/>
      <c r="AA42" s="6"/>
      <c r="AB42" s="6"/>
      <c r="AC42" s="6"/>
      <c r="AD42" s="6"/>
      <c r="AE42" s="6"/>
      <c r="AF42" s="6"/>
      <c r="AG42" s="6"/>
      <c r="AH42" s="6"/>
      <c r="AI42" s="6"/>
      <c r="AJ42" s="6"/>
      <c r="AK42" s="6"/>
      <c r="AL42" s="6"/>
      <c r="AM42" s="6"/>
      <c r="AN42" s="6"/>
      <c r="AO42" s="6"/>
      <c r="AP42" s="2"/>
      <c r="AQ42" s="2"/>
    </row>
    <row r="43" spans="1:43">
      <c r="A43" s="194" t="s">
        <v>348</v>
      </c>
      <c r="B43" s="276">
        <f>B42/$B$22</f>
        <v>1.4459122025424546E-2</v>
      </c>
      <c r="C43" s="277"/>
      <c r="D43" s="163"/>
      <c r="E43" s="323"/>
      <c r="F43" s="163">
        <f>1700*0.1</f>
        <v>170</v>
      </c>
      <c r="G43" s="163"/>
      <c r="H43" s="163"/>
      <c r="I43" s="163"/>
      <c r="J43" s="168"/>
      <c r="K43" s="163"/>
      <c r="L43" s="163"/>
      <c r="M43" s="45"/>
      <c r="N43" s="45"/>
      <c r="O43" s="45"/>
      <c r="P43" s="45"/>
      <c r="Q43" s="45"/>
      <c r="R43" s="45"/>
      <c r="S43" s="45"/>
      <c r="T43" s="45"/>
      <c r="U43" s="45"/>
      <c r="V43" s="45"/>
      <c r="W43" s="45"/>
      <c r="X43" s="45"/>
      <c r="Y43" s="45"/>
      <c r="Z43" s="45"/>
      <c r="AA43" s="45"/>
    </row>
    <row r="44" spans="1:43">
      <c r="A44" s="194" t="s">
        <v>349</v>
      </c>
      <c r="B44" s="281">
        <f>($B$27-$B$23)/B17*1000000</f>
        <v>16619.193085326999</v>
      </c>
      <c r="C44" s="277"/>
      <c r="D44" s="163"/>
      <c r="E44" s="163"/>
      <c r="F44" s="163">
        <f>1600-F43</f>
        <v>1430</v>
      </c>
      <c r="G44" s="163">
        <f>109-(109*0.1)</f>
        <v>98.1</v>
      </c>
      <c r="H44" s="163"/>
      <c r="I44" s="163"/>
      <c r="J44" s="163"/>
      <c r="K44" s="163"/>
      <c r="L44" s="285"/>
      <c r="M44" s="45"/>
      <c r="N44" s="45"/>
      <c r="O44" s="45"/>
      <c r="P44" s="45"/>
      <c r="Q44" s="45"/>
      <c r="R44" s="45"/>
      <c r="S44" s="45"/>
      <c r="T44" s="45"/>
      <c r="U44" s="45"/>
      <c r="V44" s="45"/>
      <c r="W44" s="45"/>
      <c r="X44" s="45"/>
      <c r="Y44" s="45"/>
      <c r="Z44" s="45"/>
      <c r="AA44" s="45"/>
    </row>
    <row r="45" spans="1:43" ht="15" thickBot="1">
      <c r="A45" s="239" t="s">
        <v>348</v>
      </c>
      <c r="B45" s="282">
        <f>B44/$B$22</f>
        <v>4.6256025015445857E-3</v>
      </c>
      <c r="C45" s="283"/>
      <c r="D45" s="163"/>
      <c r="E45" s="163"/>
      <c r="F45" s="163"/>
      <c r="G45" s="163">
        <f>G44*13.4</f>
        <v>1314.54</v>
      </c>
      <c r="H45" s="163"/>
      <c r="I45" s="163"/>
      <c r="J45" s="163"/>
      <c r="K45" s="163"/>
      <c r="L45" s="163"/>
      <c r="M45" s="45"/>
      <c r="N45" s="45"/>
      <c r="O45" s="45"/>
      <c r="P45" s="45"/>
      <c r="Q45" s="45"/>
      <c r="R45" s="45"/>
      <c r="S45" s="45"/>
      <c r="T45" s="45"/>
      <c r="U45" s="45"/>
      <c r="V45" s="45"/>
      <c r="W45" s="45"/>
      <c r="X45" s="45"/>
      <c r="Y45" s="45"/>
      <c r="Z45" s="45"/>
      <c r="AA45" s="45"/>
    </row>
    <row r="46" spans="1:43">
      <c r="A46" s="163"/>
      <c r="B46" s="163"/>
      <c r="C46" s="163"/>
      <c r="D46" s="163"/>
      <c r="E46" s="163"/>
      <c r="F46" s="163"/>
      <c r="G46" s="163"/>
      <c r="H46" s="163"/>
      <c r="I46" s="163"/>
      <c r="J46" s="163"/>
      <c r="K46" s="163"/>
      <c r="L46" s="163"/>
      <c r="M46" s="45"/>
      <c r="N46" s="45"/>
      <c r="O46" s="45"/>
      <c r="P46" s="45"/>
      <c r="Q46" s="45"/>
      <c r="R46" s="45"/>
      <c r="S46" s="45"/>
      <c r="T46" s="45"/>
      <c r="U46" s="45"/>
      <c r="V46" s="45"/>
      <c r="W46" s="45"/>
      <c r="X46" s="45"/>
      <c r="Y46" s="45"/>
      <c r="Z46" s="45"/>
      <c r="AA46" s="45"/>
    </row>
    <row r="47" spans="1:43">
      <c r="A47" s="172" t="s">
        <v>187</v>
      </c>
      <c r="B47" s="285"/>
      <c r="C47" s="163"/>
      <c r="D47" s="168"/>
      <c r="E47" s="171"/>
      <c r="F47" s="171"/>
      <c r="G47" s="171"/>
      <c r="H47" s="171"/>
      <c r="I47" s="168"/>
      <c r="J47" s="172" t="s">
        <v>186</v>
      </c>
      <c r="K47" s="168"/>
      <c r="L47" s="163"/>
      <c r="M47" s="45"/>
      <c r="N47" s="45"/>
      <c r="O47" s="45"/>
      <c r="P47" s="45"/>
      <c r="Q47" s="45"/>
      <c r="R47" s="45"/>
      <c r="S47" s="45"/>
      <c r="T47" s="45"/>
      <c r="U47" s="45"/>
      <c r="V47" s="45"/>
      <c r="W47" s="45"/>
      <c r="X47" s="45"/>
      <c r="Y47" s="45"/>
      <c r="Z47" s="45"/>
      <c r="AA47" s="45"/>
    </row>
    <row r="48" spans="1:43">
      <c r="A48" s="287" t="s">
        <v>159</v>
      </c>
      <c r="B48" s="163"/>
      <c r="C48" s="163"/>
      <c r="D48" s="163"/>
      <c r="E48" s="163"/>
      <c r="F48" s="163"/>
      <c r="G48" s="163"/>
      <c r="H48" s="163"/>
      <c r="I48" s="163"/>
      <c r="J48" s="163"/>
      <c r="K48" s="163"/>
      <c r="L48" s="163"/>
      <c r="M48" s="45"/>
      <c r="N48" s="45"/>
      <c r="O48" s="45"/>
      <c r="P48" s="45"/>
      <c r="Q48" s="45"/>
      <c r="R48" s="45"/>
      <c r="S48" s="45"/>
      <c r="T48" s="45"/>
      <c r="U48" s="45"/>
      <c r="V48" s="45"/>
      <c r="W48" s="45"/>
      <c r="X48" s="45"/>
      <c r="Y48" s="45"/>
      <c r="Z48" s="45"/>
      <c r="AA48" s="45"/>
    </row>
    <row r="49" spans="1:27">
      <c r="A49" s="179"/>
      <c r="B49" s="163"/>
      <c r="C49" s="163"/>
      <c r="D49" s="163"/>
      <c r="E49" s="163"/>
      <c r="F49" s="163"/>
      <c r="G49" s="163"/>
      <c r="H49" s="163"/>
      <c r="I49" s="163"/>
      <c r="J49" s="163"/>
      <c r="K49" s="163"/>
      <c r="L49" s="163"/>
      <c r="M49" s="45"/>
      <c r="N49" s="45"/>
      <c r="O49" s="45"/>
      <c r="P49" s="45"/>
      <c r="Q49" s="45"/>
      <c r="R49" s="45"/>
      <c r="S49" s="45"/>
      <c r="T49" s="45"/>
      <c r="U49" s="45"/>
      <c r="V49" s="45"/>
      <c r="W49" s="45"/>
      <c r="X49" s="45"/>
      <c r="Y49" s="45"/>
      <c r="Z49" s="45"/>
      <c r="AA49" s="45"/>
    </row>
    <row r="50" spans="1:27">
      <c r="A50" s="291" t="s">
        <v>26</v>
      </c>
      <c r="B50" s="292"/>
      <c r="C50" s="292"/>
      <c r="D50" s="292"/>
      <c r="E50" s="292"/>
      <c r="F50" s="292"/>
      <c r="G50" s="292"/>
      <c r="H50" s="292"/>
      <c r="I50" s="293"/>
      <c r="J50" s="292">
        <f>B14</f>
        <v>85</v>
      </c>
      <c r="K50" s="292"/>
      <c r="L50" s="292"/>
      <c r="M50" s="45"/>
      <c r="N50" s="45"/>
      <c r="O50" s="45"/>
      <c r="P50" s="45"/>
      <c r="Q50" s="45"/>
      <c r="R50" s="45"/>
      <c r="S50" s="45"/>
      <c r="T50" s="45"/>
      <c r="U50" s="45"/>
      <c r="V50" s="45"/>
      <c r="W50" s="45"/>
      <c r="X50" s="45"/>
      <c r="Y50" s="45"/>
      <c r="Z50" s="45"/>
      <c r="AA50" s="45"/>
    </row>
    <row r="51" spans="1:27" ht="28">
      <c r="A51" s="295" t="s">
        <v>27</v>
      </c>
      <c r="B51" s="296" t="s">
        <v>28</v>
      </c>
      <c r="C51" s="296" t="s">
        <v>33</v>
      </c>
      <c r="D51" s="296" t="s">
        <v>36</v>
      </c>
      <c r="E51" s="296" t="s">
        <v>32</v>
      </c>
      <c r="F51" s="296" t="s">
        <v>35</v>
      </c>
      <c r="G51" s="296" t="s">
        <v>34</v>
      </c>
      <c r="H51" s="296" t="s">
        <v>31</v>
      </c>
      <c r="I51" s="297"/>
      <c r="J51" s="295" t="s">
        <v>40</v>
      </c>
      <c r="K51" s="295" t="s">
        <v>41</v>
      </c>
      <c r="L51" s="295" t="s">
        <v>45</v>
      </c>
      <c r="M51" s="45"/>
      <c r="N51" s="45"/>
      <c r="O51" s="45"/>
      <c r="P51" s="45"/>
      <c r="Q51" s="45"/>
      <c r="R51" s="45"/>
      <c r="S51" s="45"/>
      <c r="T51" s="45"/>
      <c r="U51" s="45"/>
      <c r="V51" s="45"/>
      <c r="W51" s="45"/>
      <c r="X51" s="45"/>
      <c r="Y51" s="45"/>
      <c r="Z51" s="45"/>
      <c r="AA51" s="45"/>
    </row>
    <row r="52" spans="1:27">
      <c r="A52" s="292">
        <v>0.1</v>
      </c>
      <c r="B52" s="292">
        <f t="shared" ref="B52:B61" si="0">A52^$B$12</f>
        <v>9.4598704316831996E-4</v>
      </c>
      <c r="C52" s="300">
        <f t="shared" ref="C52:C61" si="1">$B$64*B52</f>
        <v>697.29076890325143</v>
      </c>
      <c r="D52" s="292">
        <f>D13</f>
        <v>65.53</v>
      </c>
      <c r="E52" s="292">
        <f>D52+$D$52*$A$52*$B$66</f>
        <v>72.082999999999998</v>
      </c>
      <c r="F52" s="292">
        <f>AVERAGE(E52,D52)</f>
        <v>68.8065</v>
      </c>
      <c r="G52" s="302">
        <f t="shared" ref="G52:G61" si="2">H52*F52</f>
        <v>47978.13729054157</v>
      </c>
      <c r="H52" s="302">
        <f>C52</f>
        <v>697.29076890325143</v>
      </c>
      <c r="I52" s="293"/>
      <c r="J52" s="292">
        <f>IF(F52&lt;$J$50,$J$50,F52)</f>
        <v>85</v>
      </c>
      <c r="K52" s="302">
        <f>H52*J52</f>
        <v>59269.715356776374</v>
      </c>
      <c r="L52" s="300">
        <f>IF(J52&gt;F52,H52,0)</f>
        <v>697.29076890325143</v>
      </c>
      <c r="M52" s="45"/>
      <c r="N52" s="45"/>
      <c r="O52" s="45"/>
      <c r="P52" s="45"/>
      <c r="Q52" s="45"/>
      <c r="R52" s="45"/>
      <c r="S52" s="45"/>
      <c r="T52" s="45"/>
      <c r="U52" s="45"/>
      <c r="V52" s="45"/>
      <c r="W52" s="45"/>
      <c r="X52" s="45"/>
      <c r="Y52" s="45"/>
      <c r="Z52" s="45"/>
      <c r="AA52" s="45"/>
    </row>
    <row r="53" spans="1:27">
      <c r="A53" s="292">
        <f>A52+0.1</f>
        <v>0.2</v>
      </c>
      <c r="B53" s="292">
        <f t="shared" si="0"/>
        <v>7.6954577262369058E-3</v>
      </c>
      <c r="C53" s="300">
        <f t="shared" si="1"/>
        <v>5672.3521466196535</v>
      </c>
      <c r="D53" s="300">
        <f>E52</f>
        <v>72.082999999999998</v>
      </c>
      <c r="E53" s="292">
        <f t="shared" ref="E53:E61" si="3">D53+$D$52*$A$52*$B$66</f>
        <v>78.635999999999996</v>
      </c>
      <c r="F53" s="292">
        <f t="shared" ref="F53:F61" si="4">AVERAGE(E53,E52)</f>
        <v>75.359499999999997</v>
      </c>
      <c r="G53" s="302">
        <f t="shared" si="2"/>
        <v>374918.13789401914</v>
      </c>
      <c r="H53" s="302">
        <f t="shared" ref="H53:H61" si="5">C53-C52</f>
        <v>4975.0613777164017</v>
      </c>
      <c r="I53" s="293"/>
      <c r="J53" s="292">
        <f t="shared" ref="J53:J61" si="6">IF(F53&lt;$J$50,$J$50,F53)</f>
        <v>85</v>
      </c>
      <c r="K53" s="302">
        <f t="shared" ref="K53:K61" si="7">H53*J53</f>
        <v>422880.21710589412</v>
      </c>
      <c r="L53" s="300">
        <f t="shared" ref="L53:L61" si="8">IF(J53&gt;F53,H53,0)</f>
        <v>4975.0613777164017</v>
      </c>
      <c r="M53" s="45"/>
      <c r="N53" s="45"/>
      <c r="O53" s="45"/>
      <c r="P53" s="45"/>
      <c r="Q53" s="45"/>
      <c r="R53" s="45"/>
      <c r="S53" s="45"/>
      <c r="T53" s="45"/>
      <c r="U53" s="45"/>
      <c r="V53" s="45"/>
      <c r="W53" s="45"/>
      <c r="X53" s="45"/>
      <c r="Y53" s="45"/>
      <c r="Z53" s="45"/>
      <c r="AA53" s="45"/>
    </row>
    <row r="54" spans="1:27">
      <c r="A54" s="292">
        <f t="shared" ref="A54:A61" si="9">A53+0.1</f>
        <v>0.30000000000000004</v>
      </c>
      <c r="B54" s="292">
        <f t="shared" si="0"/>
        <v>2.622736387016758E-2</v>
      </c>
      <c r="C54" s="300">
        <f t="shared" si="1"/>
        <v>19332.293028119726</v>
      </c>
      <c r="D54" s="300">
        <f t="shared" ref="D54:D61" si="10">E53</f>
        <v>78.635999999999996</v>
      </c>
      <c r="E54" s="292">
        <f t="shared" si="3"/>
        <v>85.188999999999993</v>
      </c>
      <c r="F54" s="292">
        <f t="shared" si="4"/>
        <v>81.912499999999994</v>
      </c>
      <c r="G54" s="302">
        <f t="shared" si="2"/>
        <v>1118919.9074558746</v>
      </c>
      <c r="H54" s="302">
        <f t="shared" si="5"/>
        <v>13659.940881500072</v>
      </c>
      <c r="I54" s="293"/>
      <c r="J54" s="292">
        <f t="shared" si="6"/>
        <v>85</v>
      </c>
      <c r="K54" s="302">
        <f t="shared" si="7"/>
        <v>1161094.9749275062</v>
      </c>
      <c r="L54" s="300">
        <f t="shared" si="8"/>
        <v>13659.940881500072</v>
      </c>
      <c r="M54" s="45"/>
      <c r="N54" s="45"/>
      <c r="O54" s="45"/>
      <c r="P54" s="45"/>
      <c r="Q54" s="45"/>
      <c r="R54" s="45"/>
      <c r="S54" s="45"/>
      <c r="T54" s="45"/>
      <c r="U54" s="45"/>
      <c r="V54" s="45"/>
      <c r="W54" s="45"/>
      <c r="X54" s="45"/>
      <c r="Y54" s="45"/>
      <c r="Z54" s="45"/>
      <c r="AA54" s="45"/>
    </row>
    <row r="55" spans="1:27">
      <c r="A55" s="292">
        <f t="shared" si="9"/>
        <v>0.4</v>
      </c>
      <c r="B55" s="292">
        <f t="shared" si="0"/>
        <v>6.2601353838799098E-2</v>
      </c>
      <c r="C55" s="300">
        <f t="shared" si="1"/>
        <v>46143.704047407155</v>
      </c>
      <c r="D55" s="300">
        <f t="shared" si="10"/>
        <v>85.188999999999993</v>
      </c>
      <c r="E55" s="292">
        <f t="shared" si="3"/>
        <v>91.74199999999999</v>
      </c>
      <c r="F55" s="292">
        <f t="shared" si="4"/>
        <v>88.465499999999992</v>
      </c>
      <c r="G55" s="302">
        <f t="shared" si="2"/>
        <v>2371884.8815267719</v>
      </c>
      <c r="H55" s="302">
        <f t="shared" si="5"/>
        <v>26811.411019287429</v>
      </c>
      <c r="I55" s="293"/>
      <c r="J55" s="292">
        <f t="shared" si="6"/>
        <v>88.465499999999992</v>
      </c>
      <c r="K55" s="302">
        <f t="shared" si="7"/>
        <v>2371884.8815267719</v>
      </c>
      <c r="L55" s="300">
        <f t="shared" si="8"/>
        <v>0</v>
      </c>
      <c r="M55" s="45"/>
      <c r="N55" s="45"/>
      <c r="O55" s="45"/>
      <c r="P55" s="45"/>
      <c r="Q55" s="45"/>
      <c r="R55" s="45"/>
      <c r="S55" s="45"/>
      <c r="T55" s="45"/>
      <c r="U55" s="45"/>
      <c r="V55" s="45"/>
      <c r="W55" s="45"/>
      <c r="X55" s="45"/>
      <c r="Y55" s="45"/>
      <c r="Z55" s="45"/>
      <c r="AA55" s="45"/>
    </row>
    <row r="56" spans="1:27">
      <c r="A56" s="292">
        <f t="shared" si="9"/>
        <v>0.5</v>
      </c>
      <c r="B56" s="292">
        <f t="shared" si="0"/>
        <v>0.1229279760634731</v>
      </c>
      <c r="C56" s="300">
        <f t="shared" si="1"/>
        <v>90610.694478368299</v>
      </c>
      <c r="D56" s="300">
        <f t="shared" si="10"/>
        <v>91.74199999999999</v>
      </c>
      <c r="E56" s="292">
        <f t="shared" si="3"/>
        <v>98.294999999999987</v>
      </c>
      <c r="F56" s="292">
        <f t="shared" si="4"/>
        <v>95.018499999999989</v>
      </c>
      <c r="G56" s="302">
        <f t="shared" si="2"/>
        <v>4225186.7302642809</v>
      </c>
      <c r="H56" s="302">
        <f t="shared" si="5"/>
        <v>44466.990430961145</v>
      </c>
      <c r="I56" s="293"/>
      <c r="J56" s="292">
        <f t="shared" si="6"/>
        <v>95.018499999999989</v>
      </c>
      <c r="K56" s="302">
        <f t="shared" si="7"/>
        <v>4225186.7302642809</v>
      </c>
      <c r="L56" s="300">
        <f t="shared" si="8"/>
        <v>0</v>
      </c>
      <c r="M56" s="45"/>
      <c r="N56" s="45"/>
      <c r="O56" s="45"/>
      <c r="P56" s="45"/>
      <c r="Q56" s="45"/>
      <c r="R56" s="45"/>
      <c r="S56" s="45"/>
      <c r="T56" s="45"/>
      <c r="U56" s="45"/>
      <c r="V56" s="45"/>
      <c r="W56" s="45"/>
      <c r="X56" s="45"/>
      <c r="Y56" s="45"/>
      <c r="Z56" s="45"/>
      <c r="AA56" s="45"/>
    </row>
    <row r="57" spans="1:27">
      <c r="A57" s="292">
        <f t="shared" si="9"/>
        <v>0.6</v>
      </c>
      <c r="B57" s="292">
        <f t="shared" si="0"/>
        <v>0.21335553313450181</v>
      </c>
      <c r="C57" s="300">
        <f t="shared" si="1"/>
        <v>157265.20233390664</v>
      </c>
      <c r="D57" s="300">
        <f t="shared" si="10"/>
        <v>98.294999999999987</v>
      </c>
      <c r="E57" s="292">
        <f t="shared" si="3"/>
        <v>104.84799999999998</v>
      </c>
      <c r="F57" s="292">
        <f t="shared" si="4"/>
        <v>101.57149999999999</v>
      </c>
      <c r="G57" s="302">
        <f t="shared" si="2"/>
        <v>6770198.344648811</v>
      </c>
      <c r="H57" s="302">
        <f t="shared" si="5"/>
        <v>66654.507855538337</v>
      </c>
      <c r="I57" s="293"/>
      <c r="J57" s="292">
        <f t="shared" si="6"/>
        <v>101.57149999999999</v>
      </c>
      <c r="K57" s="302">
        <f t="shared" si="7"/>
        <v>6770198.344648811</v>
      </c>
      <c r="L57" s="300">
        <f t="shared" si="8"/>
        <v>0</v>
      </c>
      <c r="M57" s="45"/>
      <c r="N57" s="45"/>
      <c r="O57" s="45"/>
      <c r="P57" s="45"/>
      <c r="Q57" s="45"/>
      <c r="R57" s="45"/>
      <c r="S57" s="45"/>
      <c r="T57" s="45"/>
      <c r="U57" s="45"/>
      <c r="V57" s="45"/>
      <c r="W57" s="45"/>
      <c r="X57" s="45"/>
      <c r="Y57" s="45"/>
      <c r="Z57" s="45"/>
      <c r="AA57" s="45"/>
    </row>
    <row r="58" spans="1:27">
      <c r="A58" s="292">
        <f t="shared" si="9"/>
        <v>0.7</v>
      </c>
      <c r="B58" s="292">
        <f t="shared" si="0"/>
        <v>0.34006245705950822</v>
      </c>
      <c r="C58" s="300">
        <f t="shared" si="1"/>
        <v>250661.37413888669</v>
      </c>
      <c r="D58" s="300">
        <f t="shared" si="10"/>
        <v>104.84799999999998</v>
      </c>
      <c r="E58" s="292">
        <f t="shared" si="3"/>
        <v>111.40099999999998</v>
      </c>
      <c r="F58" s="292">
        <f t="shared" si="4"/>
        <v>108.12449999999998</v>
      </c>
      <c r="G58" s="302">
        <f t="shared" si="2"/>
        <v>10098414.378327565</v>
      </c>
      <c r="H58" s="302">
        <f t="shared" si="5"/>
        <v>93396.171804980055</v>
      </c>
      <c r="I58" s="293"/>
      <c r="J58" s="292">
        <f t="shared" si="6"/>
        <v>108.12449999999998</v>
      </c>
      <c r="K58" s="302">
        <f t="shared" si="7"/>
        <v>10098414.378327565</v>
      </c>
      <c r="L58" s="300">
        <f t="shared" si="8"/>
        <v>0</v>
      </c>
      <c r="M58" s="45"/>
      <c r="N58" s="45"/>
      <c r="O58" s="45"/>
      <c r="P58" s="45"/>
      <c r="Q58" s="45"/>
      <c r="R58" s="45"/>
      <c r="S58" s="45"/>
      <c r="T58" s="45"/>
      <c r="U58" s="45"/>
      <c r="V58" s="45"/>
      <c r="W58" s="45"/>
      <c r="X58" s="45"/>
      <c r="Y58" s="45"/>
      <c r="Z58" s="45"/>
      <c r="AA58" s="45"/>
    </row>
    <row r="59" spans="1:27">
      <c r="A59" s="292">
        <f t="shared" si="9"/>
        <v>0.79999999999999993</v>
      </c>
      <c r="B59" s="292">
        <f t="shared" si="0"/>
        <v>0.509252294257861</v>
      </c>
      <c r="C59" s="300">
        <f t="shared" si="1"/>
        <v>375371.86834981432</v>
      </c>
      <c r="D59" s="300">
        <f t="shared" si="10"/>
        <v>111.40099999999998</v>
      </c>
      <c r="E59" s="292">
        <f t="shared" si="3"/>
        <v>117.95399999999998</v>
      </c>
      <c r="F59" s="292">
        <f t="shared" si="4"/>
        <v>114.67749999999998</v>
      </c>
      <c r="G59" s="302">
        <f t="shared" si="2"/>
        <v>14301487.69987365</v>
      </c>
      <c r="H59" s="302">
        <f t="shared" si="5"/>
        <v>124710.49421092763</v>
      </c>
      <c r="I59" s="293"/>
      <c r="J59" s="292">
        <f t="shared" si="6"/>
        <v>114.67749999999998</v>
      </c>
      <c r="K59" s="302">
        <f t="shared" si="7"/>
        <v>14301487.69987365</v>
      </c>
      <c r="L59" s="300">
        <f t="shared" si="8"/>
        <v>0</v>
      </c>
      <c r="M59" s="45"/>
      <c r="N59" s="45"/>
      <c r="O59" s="45"/>
      <c r="P59" s="45"/>
      <c r="Q59" s="45"/>
      <c r="R59" s="45"/>
      <c r="S59" s="45"/>
      <c r="T59" s="45"/>
      <c r="U59" s="45"/>
      <c r="V59" s="45"/>
      <c r="W59" s="45"/>
      <c r="X59" s="45"/>
      <c r="Y59" s="45"/>
      <c r="Z59" s="45"/>
      <c r="AA59" s="45"/>
    </row>
    <row r="60" spans="1:27">
      <c r="A60" s="292">
        <f t="shared" si="9"/>
        <v>0.89999999999999991</v>
      </c>
      <c r="B60" s="292">
        <f t="shared" si="0"/>
        <v>0.72715014496850572</v>
      </c>
      <c r="C60" s="300">
        <f t="shared" si="1"/>
        <v>535985.23082834983</v>
      </c>
      <c r="D60" s="300">
        <f t="shared" si="10"/>
        <v>117.95399999999998</v>
      </c>
      <c r="E60" s="292">
        <f t="shared" si="3"/>
        <v>124.50699999999998</v>
      </c>
      <c r="F60" s="292">
        <f t="shared" si="4"/>
        <v>121.23049999999998</v>
      </c>
      <c r="G60" s="302">
        <f t="shared" si="2"/>
        <v>19471238.239954095</v>
      </c>
      <c r="H60" s="302">
        <f t="shared" si="5"/>
        <v>160613.36247853551</v>
      </c>
      <c r="I60" s="293"/>
      <c r="J60" s="292">
        <f t="shared" si="6"/>
        <v>121.23049999999998</v>
      </c>
      <c r="K60" s="302">
        <f t="shared" si="7"/>
        <v>19471238.239954095</v>
      </c>
      <c r="L60" s="300">
        <f t="shared" si="8"/>
        <v>0</v>
      </c>
      <c r="M60" s="45"/>
      <c r="N60" s="45"/>
      <c r="O60" s="45"/>
      <c r="P60" s="45"/>
      <c r="Q60" s="45"/>
      <c r="R60" s="45"/>
      <c r="S60" s="45"/>
      <c r="T60" s="45"/>
      <c r="U60" s="45"/>
      <c r="V60" s="45"/>
      <c r="W60" s="45"/>
      <c r="X60" s="45"/>
      <c r="Y60" s="45"/>
      <c r="Z60" s="45"/>
      <c r="AA60" s="45"/>
    </row>
    <row r="61" spans="1:27">
      <c r="A61" s="292">
        <f t="shared" si="9"/>
        <v>0.99999999999999989</v>
      </c>
      <c r="B61" s="292">
        <f t="shared" si="0"/>
        <v>0.99999999999999967</v>
      </c>
      <c r="C61" s="300">
        <f t="shared" si="1"/>
        <v>737103.93174928706</v>
      </c>
      <c r="D61" s="300">
        <f t="shared" si="10"/>
        <v>124.50699999999998</v>
      </c>
      <c r="E61" s="292">
        <f t="shared" si="3"/>
        <v>131.05999999999997</v>
      </c>
      <c r="F61" s="292">
        <f t="shared" si="4"/>
        <v>127.78349999999998</v>
      </c>
      <c r="G61" s="302">
        <f t="shared" si="2"/>
        <v>25699651.519130576</v>
      </c>
      <c r="H61" s="302">
        <f t="shared" si="5"/>
        <v>201118.70092093723</v>
      </c>
      <c r="I61" s="293"/>
      <c r="J61" s="292">
        <f t="shared" si="6"/>
        <v>127.78349999999998</v>
      </c>
      <c r="K61" s="302">
        <f t="shared" si="7"/>
        <v>25699651.519130576</v>
      </c>
      <c r="L61" s="300">
        <f t="shared" si="8"/>
        <v>0</v>
      </c>
      <c r="M61" s="45"/>
      <c r="N61" s="45"/>
      <c r="O61" s="45"/>
      <c r="P61" s="45"/>
      <c r="Q61" s="45"/>
      <c r="R61" s="45"/>
      <c r="S61" s="45"/>
      <c r="T61" s="45"/>
      <c r="U61" s="45"/>
      <c r="V61" s="45"/>
      <c r="W61" s="45"/>
      <c r="X61" s="45"/>
      <c r="Y61" s="45"/>
      <c r="Z61" s="45"/>
      <c r="AA61" s="45"/>
    </row>
    <row r="62" spans="1:27">
      <c r="A62" s="292"/>
      <c r="B62" s="292"/>
      <c r="C62" s="292"/>
      <c r="D62" s="292"/>
      <c r="E62" s="292"/>
      <c r="F62" s="302"/>
      <c r="G62" s="302">
        <f>SUM(G52:G61)</f>
        <v>84479877.976366177</v>
      </c>
      <c r="H62" s="302">
        <f>SUM(H52:H61)</f>
        <v>737103.93174928706</v>
      </c>
      <c r="I62" s="293"/>
      <c r="J62" s="292"/>
      <c r="K62" s="302">
        <f>SUM(K52:K61)</f>
        <v>84581306.701115921</v>
      </c>
      <c r="L62" s="302">
        <f>SUM(L52:L61)</f>
        <v>19332.293028119726</v>
      </c>
      <c r="M62" s="45"/>
      <c r="N62" s="45"/>
      <c r="O62" s="45"/>
      <c r="P62" s="45"/>
      <c r="Q62" s="45"/>
      <c r="R62" s="45"/>
      <c r="S62" s="45"/>
      <c r="T62" s="45"/>
      <c r="U62" s="45"/>
      <c r="V62" s="45"/>
      <c r="W62" s="45"/>
      <c r="X62" s="45"/>
      <c r="Y62" s="45"/>
      <c r="Z62" s="45"/>
      <c r="AA62" s="45"/>
    </row>
    <row r="63" spans="1:27">
      <c r="A63" s="292"/>
      <c r="B63" s="292"/>
      <c r="C63" s="292"/>
      <c r="D63" s="292"/>
      <c r="E63" s="292"/>
      <c r="F63" s="292"/>
      <c r="G63" s="292"/>
      <c r="H63" s="292"/>
      <c r="I63" s="293"/>
      <c r="J63" s="292"/>
      <c r="K63" s="300"/>
      <c r="L63" s="302"/>
      <c r="M63" s="45"/>
      <c r="N63" s="45"/>
      <c r="O63" s="45"/>
      <c r="P63" s="45"/>
      <c r="Q63" s="45"/>
      <c r="R63" s="45"/>
      <c r="S63" s="45"/>
      <c r="T63" s="45"/>
      <c r="U63" s="45"/>
      <c r="V63" s="45"/>
      <c r="W63" s="45"/>
      <c r="X63" s="45"/>
      <c r="Y63" s="45"/>
      <c r="Z63" s="45"/>
      <c r="AA63" s="45"/>
    </row>
    <row r="64" spans="1:27">
      <c r="A64" s="295" t="s">
        <v>30</v>
      </c>
      <c r="B64" s="305">
        <f>E22</f>
        <v>737103.93174928729</v>
      </c>
      <c r="C64" s="292"/>
      <c r="D64" s="292"/>
      <c r="E64" s="292"/>
      <c r="F64" s="292"/>
      <c r="G64" s="292"/>
      <c r="H64" s="292"/>
      <c r="I64" s="293"/>
      <c r="J64" s="292"/>
      <c r="K64" s="292"/>
      <c r="L64" s="292"/>
      <c r="M64" s="45"/>
      <c r="N64" s="45"/>
      <c r="O64" s="45"/>
      <c r="P64" s="45"/>
      <c r="Q64" s="45"/>
      <c r="R64" s="45"/>
      <c r="S64" s="45"/>
      <c r="T64" s="45"/>
      <c r="U64" s="45"/>
      <c r="V64" s="45"/>
      <c r="W64" s="45"/>
      <c r="X64" s="45"/>
      <c r="Y64" s="45"/>
      <c r="Z64" s="45"/>
      <c r="AA64" s="45"/>
    </row>
    <row r="65" spans="1:27">
      <c r="A65" s="295" t="s">
        <v>37</v>
      </c>
      <c r="B65" s="292">
        <f>G62/H62</f>
        <v>114.61053772414353</v>
      </c>
      <c r="C65" s="292"/>
      <c r="D65" s="292"/>
      <c r="E65" s="292"/>
      <c r="F65" s="292"/>
      <c r="G65" s="292"/>
      <c r="H65" s="292"/>
      <c r="I65" s="293"/>
      <c r="J65" s="292"/>
      <c r="K65" s="292"/>
      <c r="L65" s="292"/>
      <c r="M65" s="45"/>
      <c r="N65" s="45"/>
      <c r="O65" s="45"/>
      <c r="P65" s="45"/>
      <c r="Q65" s="45"/>
      <c r="R65" s="45"/>
      <c r="S65" s="45"/>
      <c r="T65" s="45"/>
      <c r="U65" s="45"/>
      <c r="V65" s="45"/>
      <c r="W65" s="45"/>
      <c r="X65" s="45"/>
      <c r="Y65" s="45"/>
      <c r="Z65" s="45"/>
      <c r="AA65" s="45"/>
    </row>
    <row r="66" spans="1:27">
      <c r="A66" s="295" t="s">
        <v>43</v>
      </c>
      <c r="B66" s="292">
        <v>1</v>
      </c>
      <c r="C66" s="292"/>
      <c r="D66" s="292"/>
      <c r="E66" s="292"/>
      <c r="F66" s="292"/>
      <c r="G66" s="292"/>
      <c r="H66" s="292"/>
      <c r="I66" s="293"/>
      <c r="J66" s="292"/>
      <c r="K66" s="292"/>
      <c r="L66" s="292"/>
      <c r="M66" s="45"/>
      <c r="N66" s="45"/>
      <c r="O66" s="45"/>
      <c r="P66" s="45"/>
      <c r="Q66" s="45"/>
      <c r="R66" s="45"/>
      <c r="S66" s="45"/>
      <c r="T66" s="45"/>
      <c r="U66" s="45"/>
      <c r="V66" s="45"/>
      <c r="W66" s="45"/>
      <c r="X66" s="45"/>
      <c r="Y66" s="45"/>
      <c r="Z66" s="45"/>
      <c r="AA66" s="45"/>
    </row>
    <row r="67" spans="1:27">
      <c r="A67" s="295" t="s">
        <v>44</v>
      </c>
      <c r="B67" s="302">
        <f>G62*360</f>
        <v>30412756071.491825</v>
      </c>
      <c r="C67" s="292"/>
      <c r="D67" s="292"/>
      <c r="E67" s="292"/>
      <c r="F67" s="292"/>
      <c r="G67" s="292"/>
      <c r="H67" s="292"/>
      <c r="I67" s="293"/>
      <c r="J67" s="292"/>
      <c r="K67" s="292"/>
      <c r="L67" s="292"/>
      <c r="M67" s="45"/>
      <c r="N67" s="45"/>
      <c r="O67" s="45"/>
      <c r="P67" s="45"/>
      <c r="Q67" s="45"/>
      <c r="R67" s="45"/>
      <c r="S67" s="45"/>
      <c r="T67" s="45"/>
      <c r="U67" s="45"/>
      <c r="V67" s="45"/>
      <c r="W67" s="45"/>
      <c r="X67" s="45"/>
      <c r="Y67" s="45"/>
      <c r="Z67" s="45"/>
      <c r="AA67" s="45"/>
    </row>
    <row r="68" spans="1:27">
      <c r="A68" s="295" t="s">
        <v>40</v>
      </c>
      <c r="B68" s="292">
        <f>K62/H62</f>
        <v>114.74814209766659</v>
      </c>
      <c r="C68" s="292"/>
      <c r="D68" s="292"/>
      <c r="E68" s="292"/>
      <c r="F68" s="292"/>
      <c r="G68" s="292"/>
      <c r="H68" s="292"/>
      <c r="I68" s="293"/>
      <c r="J68" s="292"/>
      <c r="K68" s="292"/>
      <c r="L68" s="292"/>
      <c r="M68" s="45"/>
      <c r="N68" s="45"/>
      <c r="O68" s="45"/>
      <c r="P68" s="45"/>
      <c r="Q68" s="45"/>
      <c r="R68" s="45"/>
      <c r="S68" s="45"/>
      <c r="T68" s="45"/>
      <c r="U68" s="45"/>
      <c r="V68" s="45"/>
      <c r="W68" s="45"/>
      <c r="X68" s="45"/>
      <c r="Y68" s="45"/>
      <c r="Z68" s="45"/>
      <c r="AA68" s="45"/>
    </row>
    <row r="69" spans="1:27">
      <c r="A69" s="295" t="s">
        <v>42</v>
      </c>
      <c r="B69" s="306">
        <f>K62/G62-1</f>
        <v>1.2006258434478223E-3</v>
      </c>
      <c r="C69" s="292"/>
      <c r="D69" s="292"/>
      <c r="E69" s="292"/>
      <c r="F69" s="292"/>
      <c r="G69" s="292"/>
      <c r="H69" s="292"/>
      <c r="I69" s="293"/>
      <c r="J69" s="292"/>
      <c r="K69" s="292"/>
      <c r="L69" s="292"/>
      <c r="M69" s="45"/>
      <c r="N69" s="45"/>
      <c r="O69" s="45"/>
      <c r="P69" s="45"/>
      <c r="Q69" s="45"/>
      <c r="R69" s="45"/>
      <c r="S69" s="45"/>
      <c r="T69" s="45"/>
      <c r="U69" s="45"/>
      <c r="V69" s="45"/>
      <c r="W69" s="45"/>
      <c r="X69" s="45"/>
      <c r="Y69" s="45"/>
      <c r="Z69" s="45"/>
      <c r="AA69" s="45"/>
    </row>
    <row r="70" spans="1:27">
      <c r="A70" s="163"/>
      <c r="B70" s="228"/>
      <c r="C70" s="163"/>
      <c r="D70" s="163"/>
      <c r="E70" s="163"/>
      <c r="F70" s="163"/>
      <c r="G70" s="163"/>
      <c r="H70" s="163"/>
      <c r="I70" s="293"/>
      <c r="J70" s="163"/>
      <c r="K70" s="163"/>
      <c r="L70" s="163"/>
      <c r="M70" s="45"/>
      <c r="N70" s="45"/>
      <c r="O70" s="45"/>
      <c r="P70" s="45"/>
      <c r="Q70" s="45"/>
      <c r="R70" s="45"/>
      <c r="S70" s="45"/>
      <c r="T70" s="45"/>
      <c r="U70" s="45"/>
      <c r="V70" s="45"/>
      <c r="W70" s="45"/>
      <c r="X70" s="45"/>
      <c r="Y70" s="45"/>
      <c r="Z70" s="45"/>
      <c r="AA70" s="45"/>
    </row>
    <row r="71" spans="1:27">
      <c r="A71" s="163"/>
      <c r="B71" s="228"/>
      <c r="C71" s="163"/>
      <c r="D71" s="163"/>
      <c r="E71" s="163"/>
      <c r="F71" s="163"/>
      <c r="G71" s="163"/>
      <c r="H71" s="163"/>
      <c r="I71" s="293"/>
      <c r="J71" s="163"/>
      <c r="K71" s="163"/>
      <c r="L71" s="163"/>
      <c r="M71" s="45"/>
      <c r="N71" s="45"/>
      <c r="O71" s="45"/>
      <c r="P71" s="45"/>
      <c r="Q71" s="45"/>
      <c r="R71" s="45"/>
      <c r="S71" s="45"/>
      <c r="T71" s="45"/>
      <c r="U71" s="45"/>
      <c r="V71" s="45"/>
      <c r="W71" s="45"/>
      <c r="X71" s="45"/>
      <c r="Y71" s="45"/>
      <c r="Z71" s="45"/>
      <c r="AA71" s="45"/>
    </row>
    <row r="72" spans="1:27">
      <c r="A72" s="291" t="s">
        <v>38</v>
      </c>
      <c r="B72" s="292"/>
      <c r="C72" s="292"/>
      <c r="D72" s="292"/>
      <c r="E72" s="292"/>
      <c r="F72" s="292"/>
      <c r="G72" s="292"/>
      <c r="H72" s="292"/>
      <c r="I72" s="293"/>
      <c r="J72" s="292"/>
      <c r="K72" s="292"/>
      <c r="L72" s="292"/>
      <c r="M72" s="45"/>
      <c r="N72" s="45"/>
      <c r="O72" s="45"/>
      <c r="P72" s="45"/>
      <c r="Q72" s="45"/>
      <c r="R72" s="45"/>
      <c r="S72" s="45"/>
      <c r="T72" s="45"/>
      <c r="U72" s="45"/>
      <c r="V72" s="45"/>
      <c r="W72" s="45"/>
      <c r="X72" s="45"/>
      <c r="Y72" s="45"/>
      <c r="Z72" s="45"/>
      <c r="AA72" s="45"/>
    </row>
    <row r="73" spans="1:27" ht="28">
      <c r="A73" s="295" t="s">
        <v>27</v>
      </c>
      <c r="B73" s="296" t="s">
        <v>28</v>
      </c>
      <c r="C73" s="296" t="s">
        <v>33</v>
      </c>
      <c r="D73" s="296" t="s">
        <v>36</v>
      </c>
      <c r="E73" s="296" t="s">
        <v>32</v>
      </c>
      <c r="F73" s="296" t="s">
        <v>35</v>
      </c>
      <c r="G73" s="296" t="s">
        <v>34</v>
      </c>
      <c r="H73" s="296" t="s">
        <v>31</v>
      </c>
      <c r="I73" s="297"/>
      <c r="J73" s="295" t="s">
        <v>40</v>
      </c>
      <c r="K73" s="295" t="s">
        <v>41</v>
      </c>
      <c r="L73" s="295" t="s">
        <v>45</v>
      </c>
      <c r="M73" s="45"/>
      <c r="N73" s="45"/>
      <c r="O73" s="45"/>
      <c r="P73" s="45"/>
      <c r="Q73" s="45"/>
      <c r="R73" s="45"/>
      <c r="S73" s="45"/>
      <c r="T73" s="45"/>
      <c r="U73" s="45"/>
      <c r="V73" s="45"/>
      <c r="W73" s="45"/>
      <c r="X73" s="45"/>
      <c r="Y73" s="45"/>
      <c r="Z73" s="45"/>
      <c r="AA73" s="45"/>
    </row>
    <row r="74" spans="1:27">
      <c r="A74" s="292">
        <v>0.1</v>
      </c>
      <c r="B74" s="292">
        <f t="shared" ref="B74:B83" si="11">A74^$B$12</f>
        <v>9.4598704316831996E-4</v>
      </c>
      <c r="C74" s="300">
        <f>$B$86*B74</f>
        <v>1415.3970090866562</v>
      </c>
      <c r="D74" s="292">
        <f>E11</f>
        <v>131.06</v>
      </c>
      <c r="E74" s="292">
        <f>D74+$D$52*$A$74*$B$88</f>
        <v>137.613</v>
      </c>
      <c r="F74" s="292">
        <f>AVERAGE(E74,D74)</f>
        <v>134.3365</v>
      </c>
      <c r="G74" s="302">
        <f t="shared" ref="G74:G83" si="12">H74*F74</f>
        <v>190139.48031116961</v>
      </c>
      <c r="H74" s="302">
        <f>C74</f>
        <v>1415.3970090866562</v>
      </c>
      <c r="I74" s="293"/>
      <c r="J74" s="292">
        <f>IF(F74&lt;$J$50,$J$50,F74)</f>
        <v>134.3365</v>
      </c>
      <c r="K74" s="302">
        <f>H74*J74</f>
        <v>190139.48031116961</v>
      </c>
      <c r="L74" s="300">
        <f>IF(J74&gt;F74,H74,0)</f>
        <v>0</v>
      </c>
      <c r="M74" s="45"/>
      <c r="N74" s="45"/>
      <c r="O74" s="45"/>
      <c r="P74" s="45"/>
      <c r="Q74" s="45"/>
      <c r="R74" s="45"/>
      <c r="S74" s="45"/>
      <c r="T74" s="45"/>
      <c r="U74" s="45"/>
      <c r="V74" s="45"/>
      <c r="W74" s="45"/>
      <c r="X74" s="45"/>
      <c r="Y74" s="45"/>
      <c r="Z74" s="45"/>
      <c r="AA74" s="45"/>
    </row>
    <row r="75" spans="1:27">
      <c r="A75" s="292">
        <f>A74+0.1</f>
        <v>0.2</v>
      </c>
      <c r="B75" s="292">
        <f t="shared" si="11"/>
        <v>7.6954577262369058E-3</v>
      </c>
      <c r="C75" s="300">
        <f t="shared" ref="C75:C83" si="13">$B$86*B75</f>
        <v>11514.034920381542</v>
      </c>
      <c r="D75" s="300">
        <f>E74</f>
        <v>137.613</v>
      </c>
      <c r="E75" s="292">
        <f t="shared" ref="E75:E83" si="14">D75+$D$52*$A$74*$B$88</f>
        <v>144.166</v>
      </c>
      <c r="F75" s="292">
        <f t="shared" ref="F75:F83" si="15">AVERAGE(E75,E74)</f>
        <v>140.8895</v>
      </c>
      <c r="G75" s="302">
        <f t="shared" si="12"/>
        <v>1422792.0460033808</v>
      </c>
      <c r="H75" s="302">
        <f t="shared" ref="H75:H83" si="16">C75-C74</f>
        <v>10098.637911294885</v>
      </c>
      <c r="I75" s="293"/>
      <c r="J75" s="292">
        <f t="shared" ref="J75:J83" si="17">IF(F75&lt;$J$50,$J$50,F75)</f>
        <v>140.8895</v>
      </c>
      <c r="K75" s="302">
        <f t="shared" ref="K75:K83" si="18">H75*J75</f>
        <v>1422792.0460033808</v>
      </c>
      <c r="L75" s="300">
        <f t="shared" ref="L75:L83" si="19">IF(J75&gt;F75,H75,0)</f>
        <v>0</v>
      </c>
      <c r="M75" s="45"/>
      <c r="N75" s="45"/>
      <c r="O75" s="45"/>
      <c r="P75" s="45"/>
      <c r="Q75" s="45"/>
      <c r="R75" s="45"/>
      <c r="S75" s="45"/>
      <c r="T75" s="45"/>
      <c r="U75" s="45"/>
      <c r="V75" s="45"/>
      <c r="W75" s="45"/>
      <c r="X75" s="45"/>
      <c r="Y75" s="45"/>
      <c r="Z75" s="45"/>
      <c r="AA75" s="45"/>
    </row>
    <row r="76" spans="1:27">
      <c r="A76" s="292">
        <f t="shared" ref="A76:A83" si="20">A75+0.1</f>
        <v>0.30000000000000004</v>
      </c>
      <c r="B76" s="292">
        <f t="shared" si="11"/>
        <v>2.622736387016758E-2</v>
      </c>
      <c r="C76" s="300">
        <f t="shared" si="13"/>
        <v>39241.692205140978</v>
      </c>
      <c r="D76" s="300">
        <f t="shared" ref="D76:D83" si="21">E75</f>
        <v>144.166</v>
      </c>
      <c r="E76" s="292">
        <f t="shared" si="14"/>
        <v>150.71899999999999</v>
      </c>
      <c r="F76" s="292">
        <f t="shared" si="15"/>
        <v>147.4425</v>
      </c>
      <c r="G76" s="302">
        <f t="shared" si="12"/>
        <v>4088235.1092081429</v>
      </c>
      <c r="H76" s="302">
        <f t="shared" si="16"/>
        <v>27727.657284759436</v>
      </c>
      <c r="I76" s="293"/>
      <c r="J76" s="292">
        <f t="shared" si="17"/>
        <v>147.4425</v>
      </c>
      <c r="K76" s="302">
        <f t="shared" si="18"/>
        <v>4088235.1092081429</v>
      </c>
      <c r="L76" s="300">
        <f t="shared" si="19"/>
        <v>0</v>
      </c>
      <c r="M76" s="45"/>
      <c r="N76" s="45"/>
      <c r="O76" s="45"/>
      <c r="P76" s="45"/>
      <c r="Q76" s="45"/>
      <c r="R76" s="45"/>
      <c r="S76" s="45"/>
      <c r="T76" s="45"/>
      <c r="U76" s="45"/>
      <c r="V76" s="45"/>
      <c r="W76" s="45"/>
      <c r="X76" s="45"/>
      <c r="Y76" s="45"/>
      <c r="Z76" s="45"/>
      <c r="AA76" s="45"/>
    </row>
    <row r="77" spans="1:27">
      <c r="A77" s="292">
        <f t="shared" si="20"/>
        <v>0.4</v>
      </c>
      <c r="B77" s="292">
        <f t="shared" si="11"/>
        <v>6.2601353838799098E-2</v>
      </c>
      <c r="C77" s="300">
        <f t="shared" si="13"/>
        <v>93664.886457061162</v>
      </c>
      <c r="D77" s="300">
        <f t="shared" si="21"/>
        <v>150.71899999999999</v>
      </c>
      <c r="E77" s="292">
        <f t="shared" si="14"/>
        <v>157.27199999999999</v>
      </c>
      <c r="F77" s="292">
        <f t="shared" si="15"/>
        <v>153.99549999999999</v>
      </c>
      <c r="G77" s="302">
        <f t="shared" si="12"/>
        <v>8380927.0104215741</v>
      </c>
      <c r="H77" s="302">
        <f t="shared" si="16"/>
        <v>54423.194251920184</v>
      </c>
      <c r="I77" s="293"/>
      <c r="J77" s="292">
        <f t="shared" si="17"/>
        <v>153.99549999999999</v>
      </c>
      <c r="K77" s="302">
        <f t="shared" si="18"/>
        <v>8380927.0104215741</v>
      </c>
      <c r="L77" s="300">
        <f t="shared" si="19"/>
        <v>0</v>
      </c>
      <c r="M77" s="45"/>
      <c r="N77" s="45"/>
      <c r="O77" s="45"/>
      <c r="P77" s="45"/>
      <c r="Q77" s="45"/>
      <c r="R77" s="45"/>
      <c r="S77" s="45"/>
      <c r="T77" s="45"/>
      <c r="U77" s="45"/>
      <c r="V77" s="45"/>
      <c r="W77" s="45"/>
      <c r="X77" s="45"/>
      <c r="Y77" s="45"/>
      <c r="Z77" s="45"/>
      <c r="AA77" s="45"/>
    </row>
    <row r="78" spans="1:27">
      <c r="A78" s="292">
        <f t="shared" si="20"/>
        <v>0.5</v>
      </c>
      <c r="B78" s="292">
        <f t="shared" si="11"/>
        <v>0.1229279760634731</v>
      </c>
      <c r="C78" s="300">
        <f t="shared" si="13"/>
        <v>183926.29255320301</v>
      </c>
      <c r="D78" s="300">
        <f t="shared" si="21"/>
        <v>157.27199999999999</v>
      </c>
      <c r="E78" s="292">
        <f t="shared" si="14"/>
        <v>163.82499999999999</v>
      </c>
      <c r="F78" s="292">
        <f t="shared" si="15"/>
        <v>160.54849999999999</v>
      </c>
      <c r="G78" s="302">
        <f t="shared" si="12"/>
        <v>14491333.356626429</v>
      </c>
      <c r="H78" s="302">
        <f t="shared" si="16"/>
        <v>90261.406096141844</v>
      </c>
      <c r="I78" s="293"/>
      <c r="J78" s="292">
        <f t="shared" si="17"/>
        <v>160.54849999999999</v>
      </c>
      <c r="K78" s="302">
        <f t="shared" si="18"/>
        <v>14491333.356626429</v>
      </c>
      <c r="L78" s="300">
        <f t="shared" si="19"/>
        <v>0</v>
      </c>
      <c r="M78" s="45"/>
      <c r="N78" s="45"/>
      <c r="O78" s="45"/>
      <c r="P78" s="45"/>
      <c r="Q78" s="45"/>
      <c r="R78" s="45"/>
      <c r="S78" s="45"/>
      <c r="T78" s="45"/>
      <c r="U78" s="45"/>
      <c r="V78" s="45"/>
      <c r="W78" s="45"/>
      <c r="X78" s="45"/>
      <c r="Y78" s="45"/>
      <c r="Z78" s="45"/>
      <c r="AA78" s="45"/>
    </row>
    <row r="79" spans="1:27">
      <c r="A79" s="292">
        <f t="shared" si="20"/>
        <v>0.6</v>
      </c>
      <c r="B79" s="292">
        <f t="shared" si="11"/>
        <v>0.21335553313450181</v>
      </c>
      <c r="C79" s="300">
        <f t="shared" si="13"/>
        <v>319225.07359007339</v>
      </c>
      <c r="D79" s="300">
        <f t="shared" si="21"/>
        <v>163.82499999999999</v>
      </c>
      <c r="E79" s="292">
        <f t="shared" si="14"/>
        <v>170.37799999999999</v>
      </c>
      <c r="F79" s="292">
        <f t="shared" si="15"/>
        <v>167.10149999999999</v>
      </c>
      <c r="G79" s="302">
        <f t="shared" si="12"/>
        <v>22608629.259432595</v>
      </c>
      <c r="H79" s="302">
        <f t="shared" si="16"/>
        <v>135298.78103687038</v>
      </c>
      <c r="I79" s="293"/>
      <c r="J79" s="292">
        <f t="shared" si="17"/>
        <v>167.10149999999999</v>
      </c>
      <c r="K79" s="302">
        <f t="shared" si="18"/>
        <v>22608629.259432595</v>
      </c>
      <c r="L79" s="300">
        <f t="shared" si="19"/>
        <v>0</v>
      </c>
      <c r="M79" s="45"/>
      <c r="N79" s="45"/>
      <c r="O79" s="45"/>
      <c r="P79" s="45"/>
      <c r="Q79" s="45"/>
      <c r="R79" s="45"/>
      <c r="S79" s="45"/>
      <c r="T79" s="45"/>
      <c r="U79" s="45"/>
      <c r="V79" s="45"/>
      <c r="W79" s="45"/>
      <c r="X79" s="45"/>
      <c r="Y79" s="45"/>
      <c r="Z79" s="45"/>
      <c r="AA79" s="45"/>
    </row>
    <row r="80" spans="1:27">
      <c r="A80" s="292">
        <f t="shared" si="20"/>
        <v>0.7</v>
      </c>
      <c r="B80" s="292">
        <f t="shared" si="11"/>
        <v>0.34006245705950822</v>
      </c>
      <c r="C80" s="300">
        <f t="shared" si="13"/>
        <v>508805.47265492013</v>
      </c>
      <c r="D80" s="300">
        <f t="shared" si="21"/>
        <v>170.37799999999999</v>
      </c>
      <c r="E80" s="292">
        <f t="shared" si="14"/>
        <v>176.93099999999998</v>
      </c>
      <c r="F80" s="292">
        <f t="shared" si="15"/>
        <v>173.65449999999998</v>
      </c>
      <c r="G80" s="302">
        <f t="shared" si="12"/>
        <v>32921489.409406427</v>
      </c>
      <c r="H80" s="302">
        <f t="shared" si="16"/>
        <v>189580.39906484674</v>
      </c>
      <c r="I80" s="293"/>
      <c r="J80" s="292">
        <f t="shared" si="17"/>
        <v>173.65449999999998</v>
      </c>
      <c r="K80" s="302">
        <f t="shared" si="18"/>
        <v>32921489.409406427</v>
      </c>
      <c r="L80" s="300">
        <f t="shared" si="19"/>
        <v>0</v>
      </c>
      <c r="M80" s="45"/>
      <c r="N80" s="45"/>
      <c r="O80" s="45"/>
      <c r="P80" s="45"/>
      <c r="Q80" s="45"/>
      <c r="R80" s="45"/>
      <c r="S80" s="45"/>
      <c r="T80" s="45"/>
      <c r="U80" s="45"/>
      <c r="V80" s="45"/>
      <c r="W80" s="45"/>
      <c r="X80" s="45"/>
      <c r="Y80" s="45"/>
      <c r="Z80" s="45"/>
      <c r="AA80" s="45"/>
    </row>
    <row r="81" spans="1:27">
      <c r="A81" s="292">
        <f t="shared" si="20"/>
        <v>0.79999999999999993</v>
      </c>
      <c r="B81" s="292">
        <f t="shared" si="11"/>
        <v>0.509252294257861</v>
      </c>
      <c r="C81" s="300">
        <f t="shared" si="13"/>
        <v>761949.30931505677</v>
      </c>
      <c r="D81" s="300">
        <f t="shared" si="21"/>
        <v>176.93099999999998</v>
      </c>
      <c r="E81" s="292">
        <f t="shared" si="14"/>
        <v>183.48399999999998</v>
      </c>
      <c r="F81" s="292">
        <f t="shared" si="15"/>
        <v>180.20749999999998</v>
      </c>
      <c r="G81" s="302">
        <f t="shared" si="12"/>
        <v>45618417.944931567</v>
      </c>
      <c r="H81" s="302">
        <f t="shared" si="16"/>
        <v>253143.83666013664</v>
      </c>
      <c r="I81" s="293"/>
      <c r="J81" s="292">
        <f t="shared" si="17"/>
        <v>180.20749999999998</v>
      </c>
      <c r="K81" s="302">
        <f t="shared" si="18"/>
        <v>45618417.944931567</v>
      </c>
      <c r="L81" s="300">
        <f t="shared" si="19"/>
        <v>0</v>
      </c>
      <c r="M81" s="45"/>
      <c r="N81" s="45"/>
      <c r="O81" s="45"/>
      <c r="P81" s="45"/>
      <c r="Q81" s="45"/>
      <c r="R81" s="45"/>
      <c r="S81" s="45"/>
      <c r="T81" s="45"/>
      <c r="U81" s="45"/>
      <c r="V81" s="45"/>
      <c r="W81" s="45"/>
      <c r="X81" s="45"/>
      <c r="Y81" s="45"/>
      <c r="Z81" s="45"/>
      <c r="AA81" s="45"/>
    </row>
    <row r="82" spans="1:27">
      <c r="A82" s="292">
        <f t="shared" si="20"/>
        <v>0.89999999999999991</v>
      </c>
      <c r="B82" s="292">
        <f t="shared" si="11"/>
        <v>0.72715014496850572</v>
      </c>
      <c r="C82" s="300">
        <f t="shared" si="13"/>
        <v>1087970.652217722</v>
      </c>
      <c r="D82" s="300">
        <f t="shared" si="21"/>
        <v>183.48399999999998</v>
      </c>
      <c r="E82" s="292">
        <f t="shared" si="14"/>
        <v>190.03699999999998</v>
      </c>
      <c r="F82" s="292">
        <f t="shared" si="15"/>
        <v>186.76049999999998</v>
      </c>
      <c r="G82" s="302">
        <f t="shared" si="12"/>
        <v>60887909.011173211</v>
      </c>
      <c r="H82" s="302">
        <f t="shared" si="16"/>
        <v>326021.34290266526</v>
      </c>
      <c r="I82" s="293"/>
      <c r="J82" s="292">
        <f t="shared" si="17"/>
        <v>186.76049999999998</v>
      </c>
      <c r="K82" s="302">
        <f t="shared" si="18"/>
        <v>60887909.011173211</v>
      </c>
      <c r="L82" s="300">
        <f t="shared" si="19"/>
        <v>0</v>
      </c>
      <c r="M82" s="45"/>
      <c r="N82" s="45"/>
      <c r="O82" s="45"/>
      <c r="P82" s="45"/>
      <c r="Q82" s="45"/>
      <c r="R82" s="45"/>
      <c r="S82" s="45"/>
      <c r="T82" s="45"/>
      <c r="U82" s="45"/>
      <c r="V82" s="45"/>
      <c r="W82" s="45"/>
      <c r="X82" s="45"/>
      <c r="Y82" s="45"/>
      <c r="Z82" s="45"/>
      <c r="AA82" s="45"/>
    </row>
    <row r="83" spans="1:27">
      <c r="A83" s="292">
        <f t="shared" si="20"/>
        <v>0.99999999999999989</v>
      </c>
      <c r="B83" s="292">
        <f t="shared" si="11"/>
        <v>0.99999999999999967</v>
      </c>
      <c r="C83" s="300">
        <f t="shared" si="13"/>
        <v>1496211.8343039646</v>
      </c>
      <c r="D83" s="300">
        <f t="shared" si="21"/>
        <v>190.03699999999998</v>
      </c>
      <c r="E83" s="292">
        <f t="shared" si="14"/>
        <v>196.58999999999997</v>
      </c>
      <c r="F83" s="292">
        <f t="shared" si="15"/>
        <v>193.31349999999998</v>
      </c>
      <c r="G83" s="302">
        <f t="shared" si="12"/>
        <v>78918531.753228843</v>
      </c>
      <c r="H83" s="302">
        <f t="shared" si="16"/>
        <v>408241.1820862426</v>
      </c>
      <c r="I83" s="293"/>
      <c r="J83" s="292">
        <f t="shared" si="17"/>
        <v>193.31349999999998</v>
      </c>
      <c r="K83" s="302">
        <f t="shared" si="18"/>
        <v>78918531.753228843</v>
      </c>
      <c r="L83" s="300">
        <f t="shared" si="19"/>
        <v>0</v>
      </c>
      <c r="M83" s="45"/>
      <c r="N83" s="45"/>
      <c r="O83" s="45"/>
      <c r="P83" s="45"/>
      <c r="Q83" s="45"/>
      <c r="R83" s="45"/>
      <c r="S83" s="45"/>
      <c r="T83" s="45"/>
      <c r="U83" s="45"/>
      <c r="V83" s="45"/>
      <c r="W83" s="45"/>
      <c r="X83" s="45"/>
      <c r="Y83" s="45"/>
      <c r="Z83" s="45"/>
      <c r="AA83" s="45"/>
    </row>
    <row r="84" spans="1:27">
      <c r="A84" s="292"/>
      <c r="B84" s="292"/>
      <c r="C84" s="292"/>
      <c r="D84" s="292"/>
      <c r="E84" s="292"/>
      <c r="F84" s="302"/>
      <c r="G84" s="302">
        <f>SUM(G74:G83)</f>
        <v>269528404.38074332</v>
      </c>
      <c r="H84" s="302">
        <f>SUM(H74:H83)</f>
        <v>1496211.8343039646</v>
      </c>
      <c r="I84" s="293"/>
      <c r="J84" s="292"/>
      <c r="K84" s="302">
        <f>SUM(K74:K83)</f>
        <v>269528404.38074332</v>
      </c>
      <c r="L84" s="302">
        <f>SUM(L74:L83)</f>
        <v>0</v>
      </c>
      <c r="M84" s="45"/>
      <c r="N84" s="45"/>
      <c r="O84" s="45"/>
      <c r="P84" s="45"/>
      <c r="Q84" s="45"/>
      <c r="R84" s="45"/>
      <c r="S84" s="45"/>
      <c r="T84" s="45"/>
      <c r="U84" s="45"/>
      <c r="V84" s="45"/>
      <c r="W84" s="45"/>
      <c r="X84" s="45"/>
      <c r="Y84" s="45"/>
      <c r="Z84" s="45"/>
      <c r="AA84" s="45"/>
    </row>
    <row r="85" spans="1:27">
      <c r="A85" s="292" t="s">
        <v>29</v>
      </c>
      <c r="B85" s="292">
        <f>B12</f>
        <v>3.0241148119269998</v>
      </c>
      <c r="C85" s="292"/>
      <c r="D85" s="292"/>
      <c r="E85" s="292"/>
      <c r="F85" s="292"/>
      <c r="G85" s="292"/>
      <c r="H85" s="292"/>
      <c r="I85" s="293"/>
      <c r="J85" s="292"/>
      <c r="K85" s="300"/>
      <c r="L85" s="302"/>
      <c r="M85" s="45"/>
      <c r="N85" s="45"/>
      <c r="O85" s="45"/>
      <c r="P85" s="45"/>
      <c r="Q85" s="45"/>
      <c r="R85" s="45"/>
      <c r="S85" s="45"/>
      <c r="T85" s="45"/>
      <c r="U85" s="45"/>
      <c r="V85" s="45"/>
      <c r="W85" s="45"/>
      <c r="X85" s="45"/>
      <c r="Y85" s="45"/>
      <c r="Z85" s="45"/>
      <c r="AA85" s="45"/>
    </row>
    <row r="86" spans="1:27">
      <c r="A86" s="295" t="s">
        <v>30</v>
      </c>
      <c r="B86" s="305">
        <f>F22</f>
        <v>1496211.8343039651</v>
      </c>
      <c r="C86" s="292"/>
      <c r="D86" s="292"/>
      <c r="E86" s="292"/>
      <c r="F86" s="292"/>
      <c r="G86" s="292"/>
      <c r="H86" s="292"/>
      <c r="I86" s="293"/>
      <c r="J86" s="292"/>
      <c r="K86" s="292"/>
      <c r="L86" s="292"/>
      <c r="M86" s="45"/>
      <c r="N86" s="45"/>
      <c r="O86" s="45"/>
      <c r="P86" s="45"/>
      <c r="Q86" s="45"/>
      <c r="R86" s="45"/>
      <c r="S86" s="45"/>
      <c r="T86" s="45"/>
      <c r="U86" s="45"/>
      <c r="V86" s="45"/>
      <c r="W86" s="45"/>
      <c r="X86" s="45"/>
      <c r="Y86" s="45"/>
      <c r="Z86" s="45"/>
      <c r="AA86" s="45"/>
    </row>
    <row r="87" spans="1:27">
      <c r="A87" s="295" t="s">
        <v>37</v>
      </c>
      <c r="B87" s="292">
        <f>G84/H84</f>
        <v>180.14053772414351</v>
      </c>
      <c r="C87" s="292"/>
      <c r="D87" s="292"/>
      <c r="E87" s="292"/>
      <c r="F87" s="292"/>
      <c r="G87" s="292"/>
      <c r="H87" s="292"/>
      <c r="I87" s="293"/>
      <c r="J87" s="292"/>
      <c r="K87" s="292"/>
      <c r="L87" s="292"/>
      <c r="M87" s="45"/>
      <c r="N87" s="45"/>
      <c r="O87" s="45"/>
      <c r="P87" s="45"/>
      <c r="Q87" s="45"/>
      <c r="R87" s="45"/>
      <c r="S87" s="45"/>
      <c r="T87" s="45"/>
      <c r="U87" s="45"/>
      <c r="V87" s="45"/>
      <c r="W87" s="45"/>
      <c r="X87" s="45"/>
      <c r="Y87" s="45"/>
      <c r="Z87" s="45"/>
      <c r="AA87" s="45"/>
    </row>
    <row r="88" spans="1:27">
      <c r="A88" s="295" t="s">
        <v>43</v>
      </c>
      <c r="B88" s="292">
        <v>1</v>
      </c>
      <c r="C88" s="292"/>
      <c r="D88" s="292"/>
      <c r="E88" s="292"/>
      <c r="F88" s="292"/>
      <c r="G88" s="292"/>
      <c r="H88" s="292"/>
      <c r="I88" s="293"/>
      <c r="J88" s="292"/>
      <c r="K88" s="292"/>
      <c r="L88" s="292"/>
      <c r="M88" s="45"/>
      <c r="N88" s="45"/>
      <c r="O88" s="45"/>
      <c r="P88" s="45"/>
      <c r="Q88" s="45"/>
      <c r="R88" s="45"/>
      <c r="S88" s="45"/>
      <c r="T88" s="45"/>
      <c r="U88" s="45"/>
      <c r="V88" s="45"/>
      <c r="W88" s="45"/>
      <c r="X88" s="45"/>
      <c r="Y88" s="45"/>
      <c r="Z88" s="45"/>
      <c r="AA88" s="45"/>
    </row>
    <row r="89" spans="1:27">
      <c r="A89" s="295" t="s">
        <v>44</v>
      </c>
      <c r="B89" s="302">
        <f>G84*360</f>
        <v>97030225577.067596</v>
      </c>
      <c r="C89" s="292"/>
      <c r="D89" s="292"/>
      <c r="E89" s="292"/>
      <c r="F89" s="292"/>
      <c r="G89" s="292"/>
      <c r="H89" s="292"/>
      <c r="I89" s="293"/>
      <c r="J89" s="292"/>
      <c r="K89" s="292"/>
      <c r="L89" s="292"/>
      <c r="M89" s="45"/>
      <c r="N89" s="45"/>
      <c r="O89" s="45"/>
      <c r="P89" s="45"/>
      <c r="Q89" s="45"/>
      <c r="R89" s="45"/>
      <c r="S89" s="45"/>
      <c r="T89" s="45"/>
      <c r="U89" s="45"/>
      <c r="V89" s="45"/>
      <c r="W89" s="45"/>
      <c r="X89" s="45"/>
      <c r="Y89" s="45"/>
      <c r="Z89" s="45"/>
      <c r="AA89" s="45"/>
    </row>
    <row r="90" spans="1:27">
      <c r="A90" s="295" t="s">
        <v>40</v>
      </c>
      <c r="B90" s="292">
        <f>K84/H84</f>
        <v>180.14053772414351</v>
      </c>
      <c r="C90" s="292"/>
      <c r="D90" s="292"/>
      <c r="E90" s="292"/>
      <c r="F90" s="292"/>
      <c r="G90" s="292"/>
      <c r="H90" s="292"/>
      <c r="I90" s="293"/>
      <c r="J90" s="292"/>
      <c r="K90" s="292"/>
      <c r="L90" s="292"/>
      <c r="M90" s="45"/>
      <c r="N90" s="45"/>
      <c r="O90" s="45"/>
      <c r="P90" s="45"/>
      <c r="Q90" s="45"/>
      <c r="R90" s="45"/>
      <c r="S90" s="45"/>
      <c r="T90" s="45"/>
      <c r="U90" s="45"/>
      <c r="V90" s="45"/>
      <c r="W90" s="45"/>
      <c r="X90" s="45"/>
      <c r="Y90" s="45"/>
      <c r="Z90" s="45"/>
      <c r="AA90" s="45"/>
    </row>
    <row r="91" spans="1:27">
      <c r="A91" s="295" t="s">
        <v>42</v>
      </c>
      <c r="B91" s="306">
        <f>K84/G84-1</f>
        <v>0</v>
      </c>
      <c r="C91" s="292"/>
      <c r="D91" s="292"/>
      <c r="E91" s="292"/>
      <c r="F91" s="292"/>
      <c r="G91" s="292"/>
      <c r="H91" s="292"/>
      <c r="I91" s="293"/>
      <c r="J91" s="292"/>
      <c r="K91" s="292"/>
      <c r="L91" s="292"/>
      <c r="M91" s="45"/>
      <c r="N91" s="45"/>
      <c r="O91" s="45"/>
      <c r="P91" s="45"/>
      <c r="Q91" s="45"/>
      <c r="R91" s="45"/>
      <c r="S91" s="45"/>
      <c r="T91" s="45"/>
      <c r="U91" s="45"/>
      <c r="V91" s="45"/>
      <c r="W91" s="45"/>
      <c r="X91" s="45"/>
      <c r="Y91" s="45"/>
      <c r="Z91" s="45"/>
      <c r="AA91" s="45"/>
    </row>
    <row r="92" spans="1:27">
      <c r="A92" s="163"/>
      <c r="B92" s="163"/>
      <c r="C92" s="163"/>
      <c r="D92" s="163"/>
      <c r="E92" s="163"/>
      <c r="F92" s="163"/>
      <c r="G92" s="163"/>
      <c r="H92" s="163"/>
      <c r="I92" s="293"/>
      <c r="J92" s="163"/>
      <c r="K92" s="163"/>
      <c r="L92" s="163"/>
      <c r="M92" s="45"/>
      <c r="N92" s="45"/>
      <c r="O92" s="45"/>
      <c r="P92" s="45"/>
      <c r="Q92" s="45"/>
      <c r="R92" s="45"/>
      <c r="S92" s="45"/>
      <c r="T92" s="45"/>
      <c r="U92" s="45"/>
      <c r="V92" s="45"/>
      <c r="W92" s="45"/>
      <c r="X92" s="45"/>
      <c r="Y92" s="45"/>
      <c r="Z92" s="45"/>
      <c r="AA92" s="45"/>
    </row>
    <row r="93" spans="1:27">
      <c r="A93" s="163"/>
      <c r="B93" s="163"/>
      <c r="C93" s="163"/>
      <c r="D93" s="163"/>
      <c r="E93" s="163"/>
      <c r="F93" s="163"/>
      <c r="G93" s="163"/>
      <c r="H93" s="163"/>
      <c r="I93" s="293"/>
      <c r="J93" s="163"/>
      <c r="K93" s="163"/>
      <c r="L93" s="163"/>
      <c r="M93" s="45"/>
      <c r="N93" s="45"/>
      <c r="O93" s="45"/>
      <c r="P93" s="45"/>
      <c r="Q93" s="45"/>
      <c r="R93" s="45"/>
      <c r="S93" s="45"/>
      <c r="T93" s="45"/>
      <c r="U93" s="45"/>
      <c r="V93" s="45"/>
      <c r="W93" s="45"/>
      <c r="X93" s="45"/>
      <c r="Y93" s="45"/>
      <c r="Z93" s="45"/>
      <c r="AA93" s="45"/>
    </row>
    <row r="94" spans="1:27">
      <c r="A94" s="291" t="s">
        <v>39</v>
      </c>
      <c r="B94" s="292"/>
      <c r="C94" s="292"/>
      <c r="D94" s="292"/>
      <c r="E94" s="292"/>
      <c r="F94" s="292"/>
      <c r="G94" s="292"/>
      <c r="H94" s="292"/>
      <c r="I94" s="293"/>
      <c r="J94" s="292"/>
      <c r="K94" s="292"/>
      <c r="L94" s="292"/>
      <c r="M94" s="45"/>
      <c r="N94" s="45"/>
      <c r="O94" s="45"/>
      <c r="P94" s="45"/>
      <c r="Q94" s="45"/>
      <c r="R94" s="45"/>
      <c r="S94" s="45"/>
      <c r="T94" s="45"/>
      <c r="U94" s="45"/>
      <c r="V94" s="45"/>
      <c r="W94" s="45"/>
      <c r="X94" s="45"/>
      <c r="Y94" s="45"/>
      <c r="Z94" s="45"/>
      <c r="AA94" s="45"/>
    </row>
    <row r="95" spans="1:27" ht="28">
      <c r="A95" s="295" t="s">
        <v>27</v>
      </c>
      <c r="B95" s="296" t="s">
        <v>28</v>
      </c>
      <c r="C95" s="296" t="s">
        <v>33</v>
      </c>
      <c r="D95" s="296" t="s">
        <v>36</v>
      </c>
      <c r="E95" s="296" t="s">
        <v>32</v>
      </c>
      <c r="F95" s="296" t="s">
        <v>35</v>
      </c>
      <c r="G95" s="296" t="s">
        <v>34</v>
      </c>
      <c r="H95" s="296" t="s">
        <v>31</v>
      </c>
      <c r="I95" s="297"/>
      <c r="J95" s="295" t="s">
        <v>40</v>
      </c>
      <c r="K95" s="295" t="s">
        <v>41</v>
      </c>
      <c r="L95" s="295" t="s">
        <v>45</v>
      </c>
      <c r="M95" s="45"/>
      <c r="N95" s="45"/>
      <c r="O95" s="45"/>
      <c r="P95" s="45"/>
      <c r="Q95" s="45"/>
      <c r="R95" s="45"/>
      <c r="S95" s="45"/>
      <c r="T95" s="45"/>
      <c r="U95" s="45"/>
      <c r="V95" s="45"/>
      <c r="W95" s="45"/>
      <c r="X95" s="45"/>
      <c r="Y95" s="45"/>
      <c r="Z95" s="45"/>
      <c r="AA95" s="45"/>
    </row>
    <row r="96" spans="1:27">
      <c r="A96" s="292">
        <v>0.1</v>
      </c>
      <c r="B96" s="292">
        <f t="shared" ref="B96:B105" si="22">A96^$B$12</f>
        <v>9.4598704316831996E-4</v>
      </c>
      <c r="C96" s="300">
        <f>$B$108*B96</f>
        <v>846.87051539785648</v>
      </c>
      <c r="D96" s="292">
        <f>E83</f>
        <v>196.58999999999997</v>
      </c>
      <c r="E96" s="292">
        <f>D96+$D$52*$A$96*$B$110</f>
        <v>209.69599999999997</v>
      </c>
      <c r="F96" s="292">
        <f>AVERAGE(E96,D96)</f>
        <v>203.14299999999997</v>
      </c>
      <c r="G96" s="302">
        <f t="shared" ref="G96:G105" si="23">H96*F96</f>
        <v>172035.81710946673</v>
      </c>
      <c r="H96" s="302">
        <f>C96</f>
        <v>846.87051539785648</v>
      </c>
      <c r="I96" s="293"/>
      <c r="J96" s="292">
        <f>IF(F96&lt;$J$50,$J$50,F96)</f>
        <v>203.14299999999997</v>
      </c>
      <c r="K96" s="302">
        <f>H96*J96</f>
        <v>172035.81710946673</v>
      </c>
      <c r="L96" s="300">
        <f>IF(J96&gt;F96,H96,0)</f>
        <v>0</v>
      </c>
      <c r="M96" s="45"/>
      <c r="N96" s="45"/>
      <c r="O96" s="45"/>
      <c r="P96" s="45"/>
      <c r="Q96" s="45"/>
      <c r="R96" s="45"/>
      <c r="S96" s="45"/>
      <c r="T96" s="45"/>
      <c r="U96" s="45"/>
      <c r="V96" s="45"/>
      <c r="W96" s="45"/>
      <c r="X96" s="45"/>
      <c r="Y96" s="45"/>
      <c r="Z96" s="45"/>
      <c r="AA96" s="45"/>
    </row>
    <row r="97" spans="1:27">
      <c r="A97" s="292">
        <f>A96+0.1</f>
        <v>0.2</v>
      </c>
      <c r="B97" s="292">
        <f t="shared" si="22"/>
        <v>7.6954577262369058E-3</v>
      </c>
      <c r="C97" s="300">
        <f t="shared" ref="C97:C105" si="24">$B$108*B97</f>
        <v>6889.1601612360373</v>
      </c>
      <c r="D97" s="300">
        <f>E96</f>
        <v>209.69599999999997</v>
      </c>
      <c r="E97" s="292">
        <f t="shared" ref="E97:E105" si="25">D97+$D$52*$A$96*$B$110</f>
        <v>222.80199999999996</v>
      </c>
      <c r="F97" s="292">
        <f t="shared" ref="F97:F105" si="26">AVERAGE(E97,E96)</f>
        <v>216.24899999999997</v>
      </c>
      <c r="G97" s="302">
        <f t="shared" si="23"/>
        <v>1306639.0936228607</v>
      </c>
      <c r="H97" s="302">
        <f t="shared" ref="H97:H105" si="27">C97-C96</f>
        <v>6042.2896458381811</v>
      </c>
      <c r="I97" s="293"/>
      <c r="J97" s="292">
        <f t="shared" ref="J97:J105" si="28">IF(F97&lt;$J$50,$J$50,F97)</f>
        <v>216.24899999999997</v>
      </c>
      <c r="K97" s="302">
        <f t="shared" ref="K97:K105" si="29">H97*J97</f>
        <v>1306639.0936228607</v>
      </c>
      <c r="L97" s="300">
        <f t="shared" ref="L97:L105" si="30">IF(J97&gt;F97,H97,0)</f>
        <v>0</v>
      </c>
      <c r="M97" s="45"/>
      <c r="N97" s="45"/>
      <c r="O97" s="45"/>
      <c r="P97" s="45"/>
      <c r="Q97" s="45"/>
      <c r="R97" s="45"/>
      <c r="S97" s="45"/>
      <c r="T97" s="45"/>
      <c r="U97" s="45"/>
      <c r="V97" s="45"/>
      <c r="W97" s="45"/>
      <c r="X97" s="45"/>
      <c r="Y97" s="45"/>
      <c r="Z97" s="45"/>
      <c r="AA97" s="45"/>
    </row>
    <row r="98" spans="1:27">
      <c r="A98" s="292">
        <f t="shared" ref="A98:A105" si="31">A97+0.1</f>
        <v>0.30000000000000004</v>
      </c>
      <c r="B98" s="292">
        <f t="shared" si="22"/>
        <v>2.622736387016758E-2</v>
      </c>
      <c r="C98" s="300">
        <f t="shared" si="24"/>
        <v>23479.371433953023</v>
      </c>
      <c r="D98" s="300">
        <f t="shared" ref="D98:D105" si="32">E97</f>
        <v>222.80199999999996</v>
      </c>
      <c r="E98" s="292">
        <f t="shared" si="25"/>
        <v>235.90799999999996</v>
      </c>
      <c r="F98" s="292">
        <f t="shared" si="26"/>
        <v>229.35499999999996</v>
      </c>
      <c r="G98" s="302">
        <f t="shared" si="23"/>
        <v>3805047.9064540039</v>
      </c>
      <c r="H98" s="302">
        <f t="shared" si="27"/>
        <v>16590.211272716988</v>
      </c>
      <c r="I98" s="293"/>
      <c r="J98" s="292">
        <f t="shared" si="28"/>
        <v>229.35499999999996</v>
      </c>
      <c r="K98" s="302">
        <f t="shared" si="29"/>
        <v>3805047.9064540039</v>
      </c>
      <c r="L98" s="300">
        <f t="shared" si="30"/>
        <v>0</v>
      </c>
      <c r="M98" s="45"/>
      <c r="N98" s="45"/>
      <c r="O98" s="45"/>
      <c r="P98" s="45"/>
      <c r="Q98" s="45"/>
      <c r="R98" s="45"/>
      <c r="S98" s="45"/>
      <c r="T98" s="45"/>
      <c r="U98" s="45"/>
      <c r="V98" s="45"/>
      <c r="W98" s="45"/>
      <c r="X98" s="45"/>
      <c r="Y98" s="45"/>
      <c r="Z98" s="45"/>
      <c r="AA98" s="45"/>
    </row>
    <row r="99" spans="1:27">
      <c r="A99" s="292">
        <f t="shared" si="31"/>
        <v>0.4</v>
      </c>
      <c r="B99" s="292">
        <f t="shared" si="22"/>
        <v>6.2601353838799098E-2</v>
      </c>
      <c r="C99" s="300">
        <f t="shared" si="24"/>
        <v>56042.248329858303</v>
      </c>
      <c r="D99" s="300">
        <f t="shared" si="32"/>
        <v>235.90799999999996</v>
      </c>
      <c r="E99" s="292">
        <f t="shared" si="25"/>
        <v>249.01399999999995</v>
      </c>
      <c r="F99" s="292">
        <f t="shared" si="26"/>
        <v>242.46099999999996</v>
      </c>
      <c r="G99" s="302">
        <f t="shared" si="23"/>
        <v>7895227.6950580887</v>
      </c>
      <c r="H99" s="302">
        <f t="shared" si="27"/>
        <v>32562.87689590528</v>
      </c>
      <c r="I99" s="293"/>
      <c r="J99" s="292">
        <f t="shared" si="28"/>
        <v>242.46099999999996</v>
      </c>
      <c r="K99" s="302">
        <f t="shared" si="29"/>
        <v>7895227.6950580887</v>
      </c>
      <c r="L99" s="300">
        <f t="shared" si="30"/>
        <v>0</v>
      </c>
      <c r="M99" s="45"/>
      <c r="N99" s="45"/>
      <c r="O99" s="45"/>
      <c r="P99" s="45"/>
      <c r="Q99" s="45"/>
      <c r="R99" s="45"/>
      <c r="S99" s="45"/>
      <c r="T99" s="45"/>
      <c r="U99" s="45"/>
      <c r="V99" s="45"/>
      <c r="W99" s="45"/>
      <c r="X99" s="45"/>
      <c r="Y99" s="45"/>
      <c r="Z99" s="45"/>
      <c r="AA99" s="45"/>
    </row>
    <row r="100" spans="1:27">
      <c r="A100" s="292">
        <f t="shared" si="31"/>
        <v>0.5</v>
      </c>
      <c r="B100" s="292">
        <f t="shared" si="22"/>
        <v>0.1229279760634731</v>
      </c>
      <c r="C100" s="300">
        <f t="shared" si="24"/>
        <v>110048.10181862663</v>
      </c>
      <c r="D100" s="300">
        <f t="shared" si="32"/>
        <v>249.01399999999995</v>
      </c>
      <c r="E100" s="292">
        <f t="shared" si="25"/>
        <v>262.11999999999995</v>
      </c>
      <c r="F100" s="292">
        <f t="shared" si="26"/>
        <v>255.56699999999995</v>
      </c>
      <c r="G100" s="302">
        <f t="shared" si="23"/>
        <v>13802113.958564052</v>
      </c>
      <c r="H100" s="302">
        <f t="shared" si="27"/>
        <v>54005.853488768327</v>
      </c>
      <c r="I100" s="293"/>
      <c r="J100" s="292">
        <f t="shared" si="28"/>
        <v>255.56699999999995</v>
      </c>
      <c r="K100" s="302">
        <f t="shared" si="29"/>
        <v>13802113.958564052</v>
      </c>
      <c r="L100" s="300">
        <f t="shared" si="30"/>
        <v>0</v>
      </c>
      <c r="M100" s="45"/>
      <c r="N100" s="45"/>
      <c r="O100" s="45"/>
      <c r="P100" s="45"/>
      <c r="Q100" s="45"/>
      <c r="R100" s="45"/>
      <c r="S100" s="45"/>
      <c r="T100" s="45"/>
      <c r="U100" s="45"/>
      <c r="V100" s="45"/>
      <c r="W100" s="45"/>
      <c r="X100" s="45"/>
      <c r="Y100" s="45"/>
      <c r="Z100" s="45"/>
      <c r="AA100" s="45"/>
    </row>
    <row r="101" spans="1:27">
      <c r="A101" s="292">
        <f t="shared" si="31"/>
        <v>0.6</v>
      </c>
      <c r="B101" s="292">
        <f t="shared" si="22"/>
        <v>0.21335553313450181</v>
      </c>
      <c r="C101" s="300">
        <f t="shared" si="24"/>
        <v>191001.04130755065</v>
      </c>
      <c r="D101" s="300">
        <f t="shared" si="32"/>
        <v>262.11999999999995</v>
      </c>
      <c r="E101" s="292">
        <f t="shared" si="25"/>
        <v>275.22599999999994</v>
      </c>
      <c r="F101" s="292">
        <f t="shared" si="26"/>
        <v>268.67299999999994</v>
      </c>
      <c r="G101" s="302">
        <f t="shared" si="23"/>
        <v>21749869.111307681</v>
      </c>
      <c r="H101" s="302">
        <f t="shared" si="27"/>
        <v>80952.939488924021</v>
      </c>
      <c r="I101" s="293"/>
      <c r="J101" s="292">
        <f t="shared" si="28"/>
        <v>268.67299999999994</v>
      </c>
      <c r="K101" s="302">
        <f t="shared" si="29"/>
        <v>21749869.111307681</v>
      </c>
      <c r="L101" s="300">
        <f t="shared" si="30"/>
        <v>0</v>
      </c>
      <c r="M101" s="45"/>
      <c r="N101" s="45"/>
      <c r="O101" s="45"/>
      <c r="P101" s="45"/>
      <c r="Q101" s="45"/>
      <c r="R101" s="45"/>
      <c r="S101" s="45"/>
      <c r="T101" s="45"/>
      <c r="U101" s="45"/>
      <c r="V101" s="45"/>
      <c r="W101" s="45"/>
      <c r="X101" s="45"/>
      <c r="Y101" s="45"/>
      <c r="Z101" s="45"/>
      <c r="AA101" s="45"/>
    </row>
    <row r="102" spans="1:27">
      <c r="A102" s="292">
        <f t="shared" si="31"/>
        <v>0.7</v>
      </c>
      <c r="B102" s="292">
        <f t="shared" si="22"/>
        <v>0.34006245705950822</v>
      </c>
      <c r="C102" s="300">
        <f t="shared" si="24"/>
        <v>304432.14878811524</v>
      </c>
      <c r="D102" s="300">
        <f t="shared" si="32"/>
        <v>275.22599999999994</v>
      </c>
      <c r="E102" s="292">
        <f t="shared" si="25"/>
        <v>288.33199999999994</v>
      </c>
      <c r="F102" s="292">
        <f t="shared" si="26"/>
        <v>281.77899999999994</v>
      </c>
      <c r="G102" s="302">
        <f t="shared" si="23"/>
        <v>31962504.034766003</v>
      </c>
      <c r="H102" s="302">
        <f t="shared" si="27"/>
        <v>113431.10748056459</v>
      </c>
      <c r="I102" s="293"/>
      <c r="J102" s="292">
        <f t="shared" si="28"/>
        <v>281.77899999999994</v>
      </c>
      <c r="K102" s="302">
        <f t="shared" si="29"/>
        <v>31962504.034766003</v>
      </c>
      <c r="L102" s="300">
        <f t="shared" si="30"/>
        <v>0</v>
      </c>
      <c r="M102" s="45"/>
      <c r="N102" s="45"/>
      <c r="O102" s="45"/>
      <c r="P102" s="45"/>
      <c r="Q102" s="45"/>
      <c r="R102" s="45"/>
      <c r="S102" s="45"/>
      <c r="T102" s="45"/>
      <c r="U102" s="45"/>
      <c r="V102" s="45"/>
      <c r="W102" s="45"/>
      <c r="X102" s="45"/>
      <c r="Y102" s="45"/>
      <c r="Z102" s="45"/>
      <c r="AA102" s="45"/>
    </row>
    <row r="103" spans="1:27">
      <c r="A103" s="292">
        <f t="shared" si="31"/>
        <v>0.79999999999999993</v>
      </c>
      <c r="B103" s="292">
        <f t="shared" si="22"/>
        <v>0.509252294257861</v>
      </c>
      <c r="C103" s="300">
        <f t="shared" si="24"/>
        <v>455894.98928153858</v>
      </c>
      <c r="D103" s="300">
        <f t="shared" si="32"/>
        <v>288.33199999999994</v>
      </c>
      <c r="E103" s="292">
        <f t="shared" si="25"/>
        <v>301.43799999999993</v>
      </c>
      <c r="F103" s="292">
        <f t="shared" si="26"/>
        <v>294.88499999999993</v>
      </c>
      <c r="G103" s="302">
        <f t="shared" si="23"/>
        <v>44664119.718903132</v>
      </c>
      <c r="H103" s="302">
        <f t="shared" si="27"/>
        <v>151462.84049342334</v>
      </c>
      <c r="I103" s="293"/>
      <c r="J103" s="292">
        <f t="shared" si="28"/>
        <v>294.88499999999993</v>
      </c>
      <c r="K103" s="302">
        <f t="shared" si="29"/>
        <v>44664119.718903132</v>
      </c>
      <c r="L103" s="300">
        <f t="shared" si="30"/>
        <v>0</v>
      </c>
      <c r="M103" s="45"/>
      <c r="N103" s="45"/>
      <c r="O103" s="45"/>
      <c r="P103" s="45"/>
      <c r="Q103" s="45"/>
      <c r="R103" s="45"/>
      <c r="S103" s="45"/>
      <c r="T103" s="45"/>
      <c r="U103" s="45"/>
      <c r="V103" s="45"/>
      <c r="W103" s="45"/>
      <c r="X103" s="45"/>
      <c r="Y103" s="45"/>
      <c r="Z103" s="45"/>
      <c r="AA103" s="45"/>
    </row>
    <row r="104" spans="1:27">
      <c r="A104" s="292">
        <f t="shared" si="31"/>
        <v>0.89999999999999991</v>
      </c>
      <c r="B104" s="292">
        <f t="shared" si="22"/>
        <v>0.72715014496850572</v>
      </c>
      <c r="C104" s="300">
        <f t="shared" si="24"/>
        <v>650962.42331041582</v>
      </c>
      <c r="D104" s="300">
        <f t="shared" si="32"/>
        <v>301.43799999999993</v>
      </c>
      <c r="E104" s="292">
        <f t="shared" si="25"/>
        <v>314.54399999999993</v>
      </c>
      <c r="F104" s="292">
        <f t="shared" si="26"/>
        <v>307.99099999999993</v>
      </c>
      <c r="G104" s="302">
        <f t="shared" si="23"/>
        <v>60079014.073987916</v>
      </c>
      <c r="H104" s="302">
        <f t="shared" si="27"/>
        <v>195067.43402887724</v>
      </c>
      <c r="I104" s="293"/>
      <c r="J104" s="292">
        <f t="shared" si="28"/>
        <v>307.99099999999993</v>
      </c>
      <c r="K104" s="302">
        <f t="shared" si="29"/>
        <v>60079014.073987916</v>
      </c>
      <c r="L104" s="300">
        <f t="shared" si="30"/>
        <v>0</v>
      </c>
      <c r="M104" s="45"/>
      <c r="N104" s="45"/>
      <c r="O104" s="45"/>
      <c r="P104" s="45"/>
      <c r="Q104" s="45"/>
      <c r="R104" s="45"/>
      <c r="S104" s="45"/>
      <c r="T104" s="45"/>
      <c r="U104" s="45"/>
      <c r="V104" s="45"/>
      <c r="W104" s="45"/>
      <c r="X104" s="45"/>
      <c r="Y104" s="45"/>
      <c r="Z104" s="45"/>
      <c r="AA104" s="45"/>
    </row>
    <row r="105" spans="1:27">
      <c r="A105" s="292">
        <f t="shared" si="31"/>
        <v>0.99999999999999989</v>
      </c>
      <c r="B105" s="292">
        <f t="shared" si="22"/>
        <v>0.99999999999999967</v>
      </c>
      <c r="C105" s="300">
        <f t="shared" si="24"/>
        <v>895224.22269283875</v>
      </c>
      <c r="D105" s="300">
        <f t="shared" si="32"/>
        <v>314.54399999999993</v>
      </c>
      <c r="E105" s="292">
        <f t="shared" si="25"/>
        <v>327.64999999999992</v>
      </c>
      <c r="F105" s="292">
        <f t="shared" si="26"/>
        <v>321.09699999999992</v>
      </c>
      <c r="G105" s="302">
        <f t="shared" si="23"/>
        <v>78431730.996297836</v>
      </c>
      <c r="H105" s="302">
        <f t="shared" si="27"/>
        <v>244261.79938242293</v>
      </c>
      <c r="I105" s="293"/>
      <c r="J105" s="292">
        <f t="shared" si="28"/>
        <v>321.09699999999992</v>
      </c>
      <c r="K105" s="302">
        <f t="shared" si="29"/>
        <v>78431730.996297836</v>
      </c>
      <c r="L105" s="300">
        <f t="shared" si="30"/>
        <v>0</v>
      </c>
      <c r="M105" s="45"/>
      <c r="N105" s="45"/>
      <c r="O105" s="45"/>
      <c r="P105" s="45"/>
      <c r="Q105" s="45"/>
      <c r="R105" s="45"/>
      <c r="S105" s="45"/>
      <c r="T105" s="45"/>
      <c r="U105" s="45"/>
      <c r="V105" s="45"/>
      <c r="W105" s="45"/>
      <c r="X105" s="45"/>
      <c r="Y105" s="45"/>
      <c r="Z105" s="45"/>
      <c r="AA105" s="45"/>
    </row>
    <row r="106" spans="1:27">
      <c r="A106" s="292"/>
      <c r="B106" s="292"/>
      <c r="C106" s="292"/>
      <c r="D106" s="292"/>
      <c r="E106" s="292"/>
      <c r="F106" s="302"/>
      <c r="G106" s="302">
        <f>SUM(G96:G105)</f>
        <v>263868302.40607107</v>
      </c>
      <c r="H106" s="302">
        <f>SUM(H96:H105)</f>
        <v>895224.22269283875</v>
      </c>
      <c r="I106" s="293"/>
      <c r="J106" s="292"/>
      <c r="K106" s="302">
        <f>SUM(K96:K105)</f>
        <v>263868302.40607107</v>
      </c>
      <c r="L106" s="302">
        <f>SUM(L96:L105)</f>
        <v>0</v>
      </c>
      <c r="M106" s="45"/>
      <c r="N106" s="45"/>
      <c r="O106" s="45"/>
      <c r="P106" s="45"/>
      <c r="Q106" s="45"/>
      <c r="R106" s="45"/>
      <c r="S106" s="45"/>
      <c r="T106" s="45"/>
      <c r="U106" s="45"/>
      <c r="V106" s="45"/>
      <c r="W106" s="45"/>
      <c r="X106" s="45"/>
      <c r="Y106" s="45"/>
      <c r="Z106" s="45"/>
      <c r="AA106" s="45"/>
    </row>
    <row r="107" spans="1:27">
      <c r="A107" s="292" t="s">
        <v>29</v>
      </c>
      <c r="B107" s="292">
        <f>B85</f>
        <v>3.0241148119269998</v>
      </c>
      <c r="C107" s="292"/>
      <c r="D107" s="292"/>
      <c r="E107" s="292"/>
      <c r="F107" s="292"/>
      <c r="G107" s="292"/>
      <c r="H107" s="292"/>
      <c r="I107" s="293"/>
      <c r="J107" s="292"/>
      <c r="K107" s="300"/>
      <c r="L107" s="302"/>
      <c r="M107" s="45"/>
      <c r="N107" s="45"/>
      <c r="O107" s="45"/>
      <c r="P107" s="45"/>
      <c r="Q107" s="45"/>
      <c r="R107" s="45"/>
      <c r="S107" s="45"/>
      <c r="T107" s="45"/>
      <c r="U107" s="45"/>
      <c r="V107" s="45"/>
      <c r="W107" s="45"/>
      <c r="X107" s="45"/>
      <c r="Y107" s="45"/>
      <c r="Z107" s="45"/>
      <c r="AA107" s="45"/>
    </row>
    <row r="108" spans="1:27">
      <c r="A108" s="295" t="s">
        <v>30</v>
      </c>
      <c r="B108" s="305">
        <f>G22</f>
        <v>895224.2226928391</v>
      </c>
      <c r="C108" s="292"/>
      <c r="D108" s="292"/>
      <c r="E108" s="292"/>
      <c r="F108" s="292"/>
      <c r="G108" s="292"/>
      <c r="H108" s="292"/>
      <c r="I108" s="293"/>
      <c r="J108" s="292"/>
      <c r="K108" s="292"/>
      <c r="L108" s="292"/>
      <c r="M108" s="45"/>
      <c r="N108" s="45"/>
      <c r="O108" s="45"/>
      <c r="P108" s="45"/>
      <c r="Q108" s="45"/>
      <c r="R108" s="45"/>
      <c r="S108" s="45"/>
      <c r="T108" s="45"/>
      <c r="U108" s="45"/>
      <c r="V108" s="45"/>
      <c r="W108" s="45"/>
      <c r="X108" s="45"/>
      <c r="Y108" s="45"/>
      <c r="Z108" s="45"/>
      <c r="AA108" s="45"/>
    </row>
    <row r="109" spans="1:27">
      <c r="A109" s="295" t="s">
        <v>37</v>
      </c>
      <c r="B109" s="292">
        <f>G106/H106</f>
        <v>294.75107544828705</v>
      </c>
      <c r="C109" s="292"/>
      <c r="D109" s="292"/>
      <c r="E109" s="292"/>
      <c r="F109" s="292"/>
      <c r="G109" s="292"/>
      <c r="H109" s="292"/>
      <c r="I109" s="293"/>
      <c r="J109" s="292"/>
      <c r="K109" s="292"/>
      <c r="L109" s="292"/>
      <c r="M109" s="45"/>
      <c r="N109" s="45"/>
      <c r="O109" s="45"/>
      <c r="P109" s="45"/>
      <c r="Q109" s="45"/>
      <c r="R109" s="45"/>
      <c r="S109" s="45"/>
      <c r="T109" s="45"/>
      <c r="U109" s="45"/>
      <c r="V109" s="45"/>
      <c r="W109" s="45"/>
      <c r="X109" s="45"/>
      <c r="Y109" s="45"/>
      <c r="Z109" s="45"/>
      <c r="AA109" s="45"/>
    </row>
    <row r="110" spans="1:27">
      <c r="A110" s="295" t="s">
        <v>43</v>
      </c>
      <c r="B110" s="292">
        <v>2</v>
      </c>
      <c r="C110" s="292"/>
      <c r="D110" s="292"/>
      <c r="E110" s="292"/>
      <c r="F110" s="292"/>
      <c r="G110" s="292"/>
      <c r="H110" s="292"/>
      <c r="I110" s="293"/>
      <c r="J110" s="292"/>
      <c r="K110" s="292"/>
      <c r="L110" s="292"/>
      <c r="M110" s="45"/>
      <c r="N110" s="45"/>
      <c r="O110" s="45"/>
      <c r="P110" s="45"/>
      <c r="Q110" s="45"/>
      <c r="R110" s="45"/>
      <c r="S110" s="45"/>
      <c r="T110" s="45"/>
      <c r="U110" s="45"/>
      <c r="V110" s="45"/>
      <c r="W110" s="45"/>
      <c r="X110" s="45"/>
      <c r="Y110" s="45"/>
      <c r="Z110" s="45"/>
      <c r="AA110" s="45"/>
    </row>
    <row r="111" spans="1:27">
      <c r="A111" s="295" t="s">
        <v>44</v>
      </c>
      <c r="B111" s="302">
        <f>G106*360</f>
        <v>94992588866.185577</v>
      </c>
      <c r="C111" s="292"/>
      <c r="D111" s="292"/>
      <c r="E111" s="292"/>
      <c r="F111" s="292"/>
      <c r="G111" s="292"/>
      <c r="H111" s="292"/>
      <c r="I111" s="293"/>
      <c r="J111" s="292"/>
      <c r="K111" s="292"/>
      <c r="L111" s="292"/>
      <c r="M111" s="45"/>
      <c r="N111" s="45"/>
      <c r="O111" s="45"/>
      <c r="P111" s="45"/>
      <c r="Q111" s="45"/>
      <c r="R111" s="45"/>
      <c r="S111" s="45"/>
      <c r="T111" s="45"/>
      <c r="U111" s="45"/>
      <c r="V111" s="45"/>
      <c r="W111" s="45"/>
      <c r="X111" s="45"/>
      <c r="Y111" s="45"/>
      <c r="Z111" s="45"/>
      <c r="AA111" s="45"/>
    </row>
    <row r="112" spans="1:27">
      <c r="A112" s="295" t="s">
        <v>40</v>
      </c>
      <c r="B112" s="292">
        <f>K106/H106</f>
        <v>294.75107544828705</v>
      </c>
      <c r="C112" s="292"/>
      <c r="D112" s="292"/>
      <c r="E112" s="292"/>
      <c r="F112" s="292"/>
      <c r="G112" s="292"/>
      <c r="H112" s="292"/>
      <c r="I112" s="293"/>
      <c r="J112" s="292"/>
      <c r="K112" s="292"/>
      <c r="L112" s="292"/>
      <c r="M112" s="45"/>
      <c r="N112" s="45"/>
      <c r="O112" s="45"/>
      <c r="P112" s="45"/>
      <c r="Q112" s="45"/>
      <c r="R112" s="45"/>
      <c r="S112" s="45"/>
      <c r="T112" s="45"/>
      <c r="U112" s="45"/>
      <c r="V112" s="45"/>
      <c r="W112" s="45"/>
      <c r="X112" s="45"/>
      <c r="Y112" s="45"/>
      <c r="Z112" s="45"/>
      <c r="AA112" s="45"/>
    </row>
    <row r="113" spans="1:27">
      <c r="A113" s="295" t="s">
        <v>42</v>
      </c>
      <c r="B113" s="306">
        <f>K106/G106-1</f>
        <v>0</v>
      </c>
      <c r="C113" s="292"/>
      <c r="D113" s="292"/>
      <c r="E113" s="292"/>
      <c r="F113" s="292"/>
      <c r="G113" s="292"/>
      <c r="H113" s="292"/>
      <c r="I113" s="293"/>
      <c r="J113" s="292"/>
      <c r="K113" s="292"/>
      <c r="L113" s="292"/>
      <c r="M113" s="45"/>
      <c r="N113" s="45"/>
      <c r="O113" s="45"/>
      <c r="P113" s="45"/>
      <c r="Q113" s="45"/>
      <c r="R113" s="45"/>
      <c r="S113" s="45"/>
      <c r="T113" s="45"/>
      <c r="U113" s="45"/>
      <c r="V113" s="45"/>
      <c r="W113" s="45"/>
      <c r="X113" s="45"/>
      <c r="Y113" s="45"/>
      <c r="Z113" s="45"/>
      <c r="AA113" s="45"/>
    </row>
    <row r="114" spans="1:27">
      <c r="A114" s="163"/>
      <c r="B114" s="163"/>
      <c r="C114" s="163"/>
      <c r="D114" s="163"/>
      <c r="E114" s="163"/>
      <c r="F114" s="163"/>
      <c r="G114" s="163"/>
      <c r="H114" s="163"/>
      <c r="I114" s="293"/>
      <c r="J114" s="163"/>
      <c r="K114" s="163"/>
      <c r="L114" s="163"/>
      <c r="M114" s="45"/>
      <c r="N114" s="45"/>
      <c r="O114" s="45"/>
      <c r="P114" s="45"/>
      <c r="Q114" s="45"/>
      <c r="R114" s="45"/>
      <c r="S114" s="45"/>
      <c r="T114" s="45"/>
      <c r="U114" s="45"/>
      <c r="V114" s="45"/>
      <c r="W114" s="45"/>
      <c r="X114" s="45"/>
      <c r="Y114" s="45"/>
      <c r="Z114" s="45"/>
      <c r="AA114" s="45"/>
    </row>
    <row r="115" spans="1:27">
      <c r="A115" s="163"/>
      <c r="B115" s="163"/>
      <c r="C115" s="163"/>
      <c r="D115" s="163"/>
      <c r="E115" s="163"/>
      <c r="F115" s="163"/>
      <c r="G115" s="163"/>
      <c r="H115" s="163"/>
      <c r="I115" s="293"/>
      <c r="J115" s="163"/>
      <c r="K115" s="163"/>
      <c r="L115" s="163"/>
      <c r="M115" s="45"/>
      <c r="N115" s="45"/>
      <c r="O115" s="45"/>
      <c r="P115" s="45"/>
      <c r="Q115" s="45"/>
      <c r="R115" s="45"/>
      <c r="S115" s="45"/>
      <c r="T115" s="45"/>
      <c r="U115" s="45"/>
      <c r="V115" s="45"/>
      <c r="W115" s="45"/>
      <c r="X115" s="45"/>
      <c r="Y115" s="45"/>
      <c r="Z115" s="45"/>
      <c r="AA115" s="45"/>
    </row>
    <row r="116" spans="1:27">
      <c r="A116" s="163"/>
      <c r="B116" s="163"/>
      <c r="C116" s="163"/>
      <c r="D116" s="163"/>
      <c r="E116" s="163"/>
      <c r="F116" s="163"/>
      <c r="G116" s="163"/>
      <c r="H116" s="163"/>
      <c r="I116" s="293"/>
      <c r="J116" s="163"/>
      <c r="K116" s="163"/>
      <c r="L116" s="163"/>
      <c r="M116" s="45"/>
      <c r="N116" s="45"/>
      <c r="O116" s="45"/>
      <c r="P116" s="45"/>
      <c r="Q116" s="45"/>
      <c r="R116" s="45"/>
      <c r="S116" s="45"/>
      <c r="T116" s="45"/>
      <c r="U116" s="45"/>
      <c r="V116" s="45"/>
      <c r="W116" s="45"/>
      <c r="X116" s="45"/>
      <c r="Y116" s="45"/>
      <c r="Z116" s="45"/>
      <c r="AA116" s="45"/>
    </row>
    <row r="117" spans="1:27">
      <c r="A117" s="291" t="s">
        <v>46</v>
      </c>
      <c r="B117" s="292"/>
      <c r="C117" s="292"/>
      <c r="D117" s="292"/>
      <c r="E117" s="292"/>
      <c r="F117" s="292"/>
      <c r="G117" s="292"/>
      <c r="H117" s="292"/>
      <c r="I117" s="293"/>
      <c r="J117" s="292"/>
      <c r="K117" s="292"/>
      <c r="L117" s="292"/>
      <c r="M117" s="45"/>
      <c r="N117" s="45"/>
      <c r="O117" s="45"/>
      <c r="P117" s="45"/>
      <c r="Q117" s="45"/>
      <c r="R117" s="45"/>
      <c r="S117" s="45"/>
      <c r="T117" s="45"/>
      <c r="U117" s="45"/>
      <c r="V117" s="45"/>
      <c r="W117" s="45"/>
      <c r="X117" s="45"/>
      <c r="Y117" s="45"/>
      <c r="Z117" s="45"/>
      <c r="AA117" s="45"/>
    </row>
    <row r="118" spans="1:27" ht="28">
      <c r="A118" s="295" t="s">
        <v>27</v>
      </c>
      <c r="B118" s="296" t="s">
        <v>28</v>
      </c>
      <c r="C118" s="296" t="s">
        <v>33</v>
      </c>
      <c r="D118" s="296" t="s">
        <v>36</v>
      </c>
      <c r="E118" s="296" t="s">
        <v>32</v>
      </c>
      <c r="F118" s="296" t="s">
        <v>35</v>
      </c>
      <c r="G118" s="296" t="s">
        <v>34</v>
      </c>
      <c r="H118" s="296" t="s">
        <v>31</v>
      </c>
      <c r="I118" s="297"/>
      <c r="J118" s="295" t="s">
        <v>40</v>
      </c>
      <c r="K118" s="295" t="s">
        <v>41</v>
      </c>
      <c r="L118" s="295" t="s">
        <v>45</v>
      </c>
      <c r="M118" s="45"/>
      <c r="N118" s="45"/>
      <c r="O118" s="45"/>
      <c r="P118" s="45"/>
      <c r="Q118" s="45"/>
      <c r="R118" s="45"/>
      <c r="S118" s="45"/>
      <c r="T118" s="45"/>
      <c r="U118" s="45"/>
      <c r="V118" s="45"/>
      <c r="W118" s="45"/>
      <c r="X118" s="45"/>
      <c r="Y118" s="45"/>
      <c r="Z118" s="45"/>
      <c r="AA118" s="45"/>
    </row>
    <row r="119" spans="1:27">
      <c r="A119" s="292">
        <v>0.1</v>
      </c>
      <c r="B119" s="292">
        <f>A119^$B$130</f>
        <v>9.4598704316831996E-4</v>
      </c>
      <c r="C119" s="300">
        <f>$B$131*B119</f>
        <v>229.63259212594431</v>
      </c>
      <c r="D119" s="292">
        <f>E105</f>
        <v>327.64999999999992</v>
      </c>
      <c r="E119" s="292">
        <f>D119+$D$52*$A$119*$B$133</f>
        <v>458.70999999999992</v>
      </c>
      <c r="F119" s="292">
        <f>AVERAGE(E119,D119)</f>
        <v>393.17999999999995</v>
      </c>
      <c r="G119" s="302">
        <f t="shared" ref="G119:G128" si="33">H119*F119</f>
        <v>90286.942572078769</v>
      </c>
      <c r="H119" s="302">
        <f>C119</f>
        <v>229.63259212594431</v>
      </c>
      <c r="I119" s="293"/>
      <c r="J119" s="292">
        <f>IF(F119&lt;$J$50,$J$50,F119)</f>
        <v>393.17999999999995</v>
      </c>
      <c r="K119" s="302">
        <f>H119*J119</f>
        <v>90286.942572078769</v>
      </c>
      <c r="L119" s="300">
        <f>IF(J119&gt;F119,H119,0)</f>
        <v>0</v>
      </c>
      <c r="M119" s="45"/>
      <c r="N119" s="45"/>
      <c r="O119" s="45"/>
      <c r="P119" s="45"/>
      <c r="Q119" s="45"/>
      <c r="R119" s="45"/>
      <c r="S119" s="45"/>
      <c r="T119" s="45"/>
      <c r="U119" s="45"/>
      <c r="V119" s="45"/>
      <c r="W119" s="45"/>
      <c r="X119" s="45"/>
      <c r="Y119" s="45"/>
      <c r="Z119" s="45"/>
      <c r="AA119" s="45"/>
    </row>
    <row r="120" spans="1:27">
      <c r="A120" s="292">
        <f>A119+0.1</f>
        <v>0.2</v>
      </c>
      <c r="B120" s="292">
        <f t="shared" ref="B120:B128" si="34">A120^$B$130</f>
        <v>7.6954577262369058E-3</v>
      </c>
      <c r="C120" s="300">
        <f t="shared" ref="C120:C128" si="35">$B$131*B120</f>
        <v>1868.0254851619361</v>
      </c>
      <c r="D120" s="300">
        <f>E119</f>
        <v>458.70999999999992</v>
      </c>
      <c r="E120" s="292">
        <f t="shared" ref="E120:E128" si="36">D120+$D$52*$A$119*$B$133</f>
        <v>589.77</v>
      </c>
      <c r="F120" s="292">
        <f t="shared" ref="F120:F128" si="37">AVERAGE(E120,E119)</f>
        <v>524.24</v>
      </c>
      <c r="G120" s="302">
        <f t="shared" si="33"/>
        <v>858911.09024518833</v>
      </c>
      <c r="H120" s="302">
        <f t="shared" ref="H120:H128" si="38">C120-C119</f>
        <v>1638.3928930359918</v>
      </c>
      <c r="I120" s="293"/>
      <c r="J120" s="292">
        <f t="shared" ref="J120:J128" si="39">IF(F120&lt;$J$50,$J$50,F120)</f>
        <v>524.24</v>
      </c>
      <c r="K120" s="302">
        <f t="shared" ref="K120:K128" si="40">H120*J120</f>
        <v>858911.09024518833</v>
      </c>
      <c r="L120" s="300">
        <f t="shared" ref="L120:L128" si="41">IF(J120&gt;F120,H120,0)</f>
        <v>0</v>
      </c>
      <c r="M120" s="45"/>
      <c r="N120" s="45"/>
      <c r="O120" s="45"/>
      <c r="P120" s="45"/>
      <c r="Q120" s="45"/>
      <c r="R120" s="45"/>
      <c r="S120" s="45"/>
      <c r="T120" s="45"/>
      <c r="U120" s="45"/>
      <c r="V120" s="45"/>
      <c r="W120" s="45"/>
      <c r="X120" s="45"/>
      <c r="Y120" s="45"/>
      <c r="Z120" s="45"/>
      <c r="AA120" s="45"/>
    </row>
    <row r="121" spans="1:27">
      <c r="A121" s="292">
        <f t="shared" ref="A121:A128" si="42">A120+0.1</f>
        <v>0.30000000000000004</v>
      </c>
      <c r="B121" s="292">
        <f t="shared" si="34"/>
        <v>2.622736387016758E-2</v>
      </c>
      <c r="C121" s="300">
        <f t="shared" si="35"/>
        <v>6366.5328120834583</v>
      </c>
      <c r="D121" s="300">
        <f t="shared" ref="D121:D128" si="43">E120</f>
        <v>589.77</v>
      </c>
      <c r="E121" s="292">
        <f t="shared" si="36"/>
        <v>720.82999999999993</v>
      </c>
      <c r="F121" s="292">
        <f t="shared" si="37"/>
        <v>655.29999999999995</v>
      </c>
      <c r="G121" s="302">
        <f t="shared" si="33"/>
        <v>2947871.8513316736</v>
      </c>
      <c r="H121" s="302">
        <f t="shared" si="38"/>
        <v>4498.5073269215227</v>
      </c>
      <c r="I121" s="293"/>
      <c r="J121" s="292">
        <f t="shared" si="39"/>
        <v>655.29999999999995</v>
      </c>
      <c r="K121" s="302">
        <f t="shared" si="40"/>
        <v>2947871.8513316736</v>
      </c>
      <c r="L121" s="300">
        <f t="shared" si="41"/>
        <v>0</v>
      </c>
      <c r="M121" s="45"/>
      <c r="N121" s="45"/>
      <c r="O121" s="45"/>
      <c r="P121" s="45"/>
      <c r="Q121" s="45"/>
      <c r="R121" s="45"/>
      <c r="S121" s="45"/>
      <c r="T121" s="45"/>
      <c r="U121" s="45"/>
      <c r="V121" s="45"/>
      <c r="W121" s="45"/>
      <c r="X121" s="45"/>
      <c r="Y121" s="45"/>
      <c r="Z121" s="45"/>
      <c r="AA121" s="45"/>
    </row>
    <row r="122" spans="1:27">
      <c r="A122" s="292">
        <f t="shared" si="42"/>
        <v>0.4</v>
      </c>
      <c r="B122" s="292">
        <f t="shared" si="34"/>
        <v>6.2601353838799098E-2</v>
      </c>
      <c r="C122" s="300">
        <f t="shared" si="35"/>
        <v>15196.09730007588</v>
      </c>
      <c r="D122" s="300">
        <f t="shared" si="43"/>
        <v>720.82999999999993</v>
      </c>
      <c r="E122" s="292">
        <f t="shared" si="36"/>
        <v>851.88999999999987</v>
      </c>
      <c r="F122" s="292">
        <f t="shared" si="37"/>
        <v>786.3599999999999</v>
      </c>
      <c r="G122" s="302">
        <f t="shared" si="33"/>
        <v>6943216.3307777205</v>
      </c>
      <c r="H122" s="302">
        <f t="shared" si="38"/>
        <v>8829.5644879924221</v>
      </c>
      <c r="I122" s="293"/>
      <c r="J122" s="292">
        <f t="shared" si="39"/>
        <v>786.3599999999999</v>
      </c>
      <c r="K122" s="302">
        <f t="shared" si="40"/>
        <v>6943216.3307777205</v>
      </c>
      <c r="L122" s="300">
        <f t="shared" si="41"/>
        <v>0</v>
      </c>
      <c r="M122" s="45"/>
      <c r="N122" s="45"/>
      <c r="O122" s="45"/>
      <c r="P122" s="45"/>
      <c r="Q122" s="45"/>
      <c r="R122" s="45"/>
      <c r="S122" s="45"/>
      <c r="T122" s="45"/>
      <c r="U122" s="45"/>
      <c r="V122" s="45"/>
      <c r="W122" s="45"/>
      <c r="X122" s="45"/>
      <c r="Y122" s="45"/>
      <c r="Z122" s="45"/>
      <c r="AA122" s="45"/>
    </row>
    <row r="123" spans="1:27">
      <c r="A123" s="292">
        <f t="shared" si="42"/>
        <v>0.5</v>
      </c>
      <c r="B123" s="292">
        <f t="shared" si="34"/>
        <v>0.1229279760634731</v>
      </c>
      <c r="C123" s="300">
        <f t="shared" si="35"/>
        <v>29840.017357646506</v>
      </c>
      <c r="D123" s="300">
        <f t="shared" si="43"/>
        <v>851.88999999999987</v>
      </c>
      <c r="E123" s="292">
        <f t="shared" si="36"/>
        <v>982.94999999999982</v>
      </c>
      <c r="F123" s="292">
        <f t="shared" si="37"/>
        <v>917.41999999999985</v>
      </c>
      <c r="G123" s="302">
        <f t="shared" si="33"/>
        <v>13434625.139216442</v>
      </c>
      <c r="H123" s="302">
        <f t="shared" si="38"/>
        <v>14643.920057570625</v>
      </c>
      <c r="I123" s="293"/>
      <c r="J123" s="292">
        <f t="shared" si="39"/>
        <v>917.41999999999985</v>
      </c>
      <c r="K123" s="302">
        <f t="shared" si="40"/>
        <v>13434625.139216442</v>
      </c>
      <c r="L123" s="300">
        <f t="shared" si="41"/>
        <v>0</v>
      </c>
      <c r="M123" s="45"/>
      <c r="N123" s="45"/>
      <c r="O123" s="45"/>
      <c r="P123" s="45"/>
      <c r="Q123" s="45"/>
      <c r="R123" s="45"/>
      <c r="S123" s="45"/>
      <c r="T123" s="45"/>
      <c r="U123" s="45"/>
      <c r="V123" s="45"/>
      <c r="W123" s="45"/>
      <c r="X123" s="45"/>
      <c r="Y123" s="45"/>
      <c r="Z123" s="45"/>
      <c r="AA123" s="45"/>
    </row>
    <row r="124" spans="1:27">
      <c r="A124" s="292">
        <f t="shared" si="42"/>
        <v>0.6</v>
      </c>
      <c r="B124" s="292">
        <f>A124^$B$130</f>
        <v>0.21335553313450181</v>
      </c>
      <c r="C124" s="300">
        <f t="shared" si="35"/>
        <v>51790.755985408388</v>
      </c>
      <c r="D124" s="300">
        <f t="shared" si="43"/>
        <v>982.94999999999982</v>
      </c>
      <c r="E124" s="292">
        <f t="shared" si="36"/>
        <v>1114.0099999999998</v>
      </c>
      <c r="F124" s="292">
        <f t="shared" si="37"/>
        <v>1048.4799999999998</v>
      </c>
      <c r="G124" s="302">
        <f t="shared" si="33"/>
        <v>23014910.436435774</v>
      </c>
      <c r="H124" s="302">
        <f t="shared" si="38"/>
        <v>21950.738627761883</v>
      </c>
      <c r="I124" s="293"/>
      <c r="J124" s="292">
        <f t="shared" si="39"/>
        <v>1048.4799999999998</v>
      </c>
      <c r="K124" s="302">
        <f t="shared" si="40"/>
        <v>23014910.436435774</v>
      </c>
      <c r="L124" s="300">
        <f t="shared" si="41"/>
        <v>0</v>
      </c>
      <c r="M124" s="45"/>
      <c r="N124" s="45"/>
      <c r="O124" s="45"/>
      <c r="P124" s="45"/>
      <c r="Q124" s="45"/>
      <c r="R124" s="45"/>
      <c r="S124" s="45"/>
      <c r="T124" s="45"/>
      <c r="U124" s="45"/>
      <c r="V124" s="45"/>
      <c r="W124" s="45"/>
      <c r="X124" s="45"/>
      <c r="Y124" s="45"/>
      <c r="Z124" s="45"/>
      <c r="AA124" s="45"/>
    </row>
    <row r="125" spans="1:27">
      <c r="A125" s="292">
        <f t="shared" si="42"/>
        <v>0.7</v>
      </c>
      <c r="B125" s="292">
        <f t="shared" si="34"/>
        <v>0.34006245705950822</v>
      </c>
      <c r="C125" s="300">
        <f t="shared" si="35"/>
        <v>82548.089916489494</v>
      </c>
      <c r="D125" s="300">
        <f t="shared" si="43"/>
        <v>1114.0099999999998</v>
      </c>
      <c r="E125" s="292">
        <f t="shared" si="36"/>
        <v>1245.0699999999997</v>
      </c>
      <c r="F125" s="292">
        <f t="shared" si="37"/>
        <v>1179.5399999999997</v>
      </c>
      <c r="G125" s="302">
        <f t="shared" si="33"/>
        <v>36279505.665067397</v>
      </c>
      <c r="H125" s="302">
        <f t="shared" si="38"/>
        <v>30757.333931081106</v>
      </c>
      <c r="I125" s="293"/>
      <c r="J125" s="292">
        <f t="shared" si="39"/>
        <v>1179.5399999999997</v>
      </c>
      <c r="K125" s="302">
        <f t="shared" si="40"/>
        <v>36279505.665067397</v>
      </c>
      <c r="L125" s="300">
        <f t="shared" si="41"/>
        <v>0</v>
      </c>
      <c r="M125" s="45"/>
      <c r="N125" s="45"/>
      <c r="O125" s="45"/>
      <c r="P125" s="45"/>
      <c r="Q125" s="45"/>
      <c r="R125" s="45"/>
      <c r="S125" s="45"/>
      <c r="T125" s="45"/>
      <c r="U125" s="45"/>
      <c r="V125" s="45"/>
      <c r="W125" s="45"/>
      <c r="X125" s="45"/>
      <c r="Y125" s="45"/>
      <c r="Z125" s="45"/>
      <c r="AA125" s="45"/>
    </row>
    <row r="126" spans="1:27">
      <c r="A126" s="292">
        <f t="shared" si="42"/>
        <v>0.79999999999999993</v>
      </c>
      <c r="B126" s="292">
        <f t="shared" si="34"/>
        <v>0.509252294257861</v>
      </c>
      <c r="C126" s="300">
        <f t="shared" si="35"/>
        <v>123617.89225448134</v>
      </c>
      <c r="D126" s="300">
        <f t="shared" si="43"/>
        <v>1245.0699999999997</v>
      </c>
      <c r="E126" s="292">
        <f t="shared" si="36"/>
        <v>1376.1299999999997</v>
      </c>
      <c r="F126" s="292">
        <f t="shared" si="37"/>
        <v>1310.5999999999997</v>
      </c>
      <c r="G126" s="302">
        <f t="shared" si="33"/>
        <v>53826082.944172099</v>
      </c>
      <c r="H126" s="302">
        <f t="shared" si="38"/>
        <v>41069.802337991845</v>
      </c>
      <c r="I126" s="293"/>
      <c r="J126" s="292">
        <f t="shared" si="39"/>
        <v>1310.5999999999997</v>
      </c>
      <c r="K126" s="302">
        <f t="shared" si="40"/>
        <v>53826082.944172099</v>
      </c>
      <c r="L126" s="300">
        <f t="shared" si="41"/>
        <v>0</v>
      </c>
      <c r="M126" s="45"/>
      <c r="N126" s="45"/>
      <c r="O126" s="45"/>
      <c r="P126" s="45"/>
      <c r="Q126" s="45"/>
      <c r="R126" s="45"/>
      <c r="S126" s="45"/>
      <c r="T126" s="45"/>
      <c r="U126" s="45"/>
      <c r="V126" s="45"/>
      <c r="W126" s="45"/>
      <c r="X126" s="45"/>
      <c r="Y126" s="45"/>
      <c r="Z126" s="45"/>
      <c r="AA126" s="45"/>
    </row>
    <row r="127" spans="1:27">
      <c r="A127" s="292">
        <f t="shared" si="42"/>
        <v>0.89999999999999991</v>
      </c>
      <c r="B127" s="292">
        <f t="shared" si="34"/>
        <v>0.72715014496850572</v>
      </c>
      <c r="C127" s="300">
        <f t="shared" si="35"/>
        <v>176511.26816137988</v>
      </c>
      <c r="D127" s="300">
        <f t="shared" si="43"/>
        <v>1376.1299999999997</v>
      </c>
      <c r="E127" s="292">
        <f t="shared" si="36"/>
        <v>1507.1899999999996</v>
      </c>
      <c r="F127" s="292">
        <f t="shared" si="37"/>
        <v>1441.6599999999996</v>
      </c>
      <c r="G127" s="302">
        <f t="shared" si="33"/>
        <v>76254264.309939325</v>
      </c>
      <c r="H127" s="302">
        <f t="shared" si="38"/>
        <v>52893.375906898538</v>
      </c>
      <c r="I127" s="293"/>
      <c r="J127" s="292">
        <f t="shared" si="39"/>
        <v>1441.6599999999996</v>
      </c>
      <c r="K127" s="302">
        <f t="shared" si="40"/>
        <v>76254264.309939325</v>
      </c>
      <c r="L127" s="300">
        <f t="shared" si="41"/>
        <v>0</v>
      </c>
      <c r="M127" s="45"/>
      <c r="N127" s="45"/>
      <c r="O127" s="45"/>
      <c r="P127" s="45"/>
      <c r="Q127" s="45"/>
      <c r="R127" s="45"/>
      <c r="S127" s="45"/>
      <c r="T127" s="45"/>
      <c r="U127" s="45"/>
      <c r="V127" s="45"/>
      <c r="W127" s="45"/>
      <c r="X127" s="45"/>
      <c r="Y127" s="45"/>
      <c r="Z127" s="45"/>
      <c r="AA127" s="45"/>
    </row>
    <row r="128" spans="1:27">
      <c r="A128" s="292">
        <f t="shared" si="42"/>
        <v>0.99999999999999989</v>
      </c>
      <c r="B128" s="292">
        <f t="shared" si="34"/>
        <v>0.99999999999999967</v>
      </c>
      <c r="C128" s="300">
        <f t="shared" si="35"/>
        <v>242743.90836987985</v>
      </c>
      <c r="D128" s="300">
        <f t="shared" si="43"/>
        <v>1507.1899999999996</v>
      </c>
      <c r="E128" s="292">
        <f t="shared" si="36"/>
        <v>1638.2499999999995</v>
      </c>
      <c r="F128" s="292">
        <f t="shared" si="37"/>
        <v>1572.7199999999996</v>
      </c>
      <c r="G128" s="302">
        <f t="shared" si="33"/>
        <v>104165397.90871204</v>
      </c>
      <c r="H128" s="302">
        <f t="shared" si="38"/>
        <v>66232.640208499972</v>
      </c>
      <c r="I128" s="293"/>
      <c r="J128" s="292">
        <f t="shared" si="39"/>
        <v>1572.7199999999996</v>
      </c>
      <c r="K128" s="302">
        <f t="shared" si="40"/>
        <v>104165397.90871204</v>
      </c>
      <c r="L128" s="300">
        <f t="shared" si="41"/>
        <v>0</v>
      </c>
      <c r="M128" s="45"/>
      <c r="N128" s="45"/>
      <c r="O128" s="45"/>
      <c r="P128" s="45"/>
      <c r="Q128" s="45"/>
      <c r="R128" s="45"/>
      <c r="S128" s="45"/>
      <c r="T128" s="45"/>
      <c r="U128" s="45"/>
      <c r="V128" s="45"/>
      <c r="W128" s="45"/>
      <c r="X128" s="45"/>
      <c r="Y128" s="45"/>
      <c r="Z128" s="45"/>
      <c r="AA128" s="45"/>
    </row>
    <row r="129" spans="1:27">
      <c r="A129" s="292"/>
      <c r="B129" s="292"/>
      <c r="C129" s="292"/>
      <c r="D129" s="292"/>
      <c r="E129" s="292"/>
      <c r="F129" s="302"/>
      <c r="G129" s="302">
        <f>SUM(G119:G128)</f>
        <v>317815072.61846972</v>
      </c>
      <c r="H129" s="302">
        <f>SUM(H119:H128)</f>
        <v>242743.90836987985</v>
      </c>
      <c r="I129" s="293"/>
      <c r="J129" s="292"/>
      <c r="K129" s="302">
        <f>SUM(K119:K128)</f>
        <v>317815072.61846972</v>
      </c>
      <c r="L129" s="302">
        <f>SUM(L119:L128)</f>
        <v>0</v>
      </c>
      <c r="M129" s="45"/>
      <c r="N129" s="45"/>
      <c r="O129" s="45"/>
      <c r="P129" s="45"/>
      <c r="Q129" s="45"/>
      <c r="R129" s="45"/>
      <c r="S129" s="45"/>
      <c r="T129" s="45"/>
      <c r="U129" s="45"/>
      <c r="V129" s="45"/>
      <c r="W129" s="45"/>
      <c r="X129" s="45"/>
      <c r="Y129" s="45"/>
      <c r="Z129" s="45"/>
      <c r="AA129" s="45"/>
    </row>
    <row r="130" spans="1:27">
      <c r="A130" s="292" t="s">
        <v>29</v>
      </c>
      <c r="B130" s="307">
        <f>B12</f>
        <v>3.0241148119269998</v>
      </c>
      <c r="C130" s="292"/>
      <c r="D130" s="292"/>
      <c r="E130" s="292"/>
      <c r="F130" s="292"/>
      <c r="G130" s="292"/>
      <c r="H130" s="292"/>
      <c r="I130" s="293"/>
      <c r="J130" s="292"/>
      <c r="K130" s="300"/>
      <c r="L130" s="302"/>
      <c r="M130" s="45"/>
      <c r="N130" s="45"/>
      <c r="O130" s="45"/>
      <c r="P130" s="45"/>
      <c r="Q130" s="45"/>
      <c r="R130" s="45"/>
      <c r="S130" s="45"/>
      <c r="T130" s="45"/>
      <c r="U130" s="45"/>
      <c r="V130" s="45"/>
      <c r="W130" s="45"/>
      <c r="X130" s="45"/>
      <c r="Y130" s="45"/>
      <c r="Z130" s="45"/>
      <c r="AA130" s="45"/>
    </row>
    <row r="131" spans="1:27">
      <c r="A131" s="295" t="s">
        <v>30</v>
      </c>
      <c r="B131" s="305">
        <f>H22</f>
        <v>242743.90836987994</v>
      </c>
      <c r="C131" s="292"/>
      <c r="D131" s="292"/>
      <c r="E131" s="292"/>
      <c r="F131" s="292"/>
      <c r="G131" s="292"/>
      <c r="H131" s="292"/>
      <c r="I131" s="293"/>
      <c r="J131" s="292"/>
      <c r="K131" s="292"/>
      <c r="L131" s="292"/>
      <c r="M131" s="45"/>
      <c r="N131" s="45"/>
      <c r="O131" s="45"/>
      <c r="P131" s="45"/>
      <c r="Q131" s="45"/>
      <c r="R131" s="45"/>
      <c r="S131" s="45"/>
      <c r="T131" s="45"/>
      <c r="U131" s="45"/>
      <c r="V131" s="45"/>
      <c r="W131" s="45"/>
      <c r="X131" s="45"/>
      <c r="Y131" s="45"/>
      <c r="Z131" s="45"/>
      <c r="AA131" s="45"/>
    </row>
    <row r="132" spans="1:27">
      <c r="A132" s="295" t="s">
        <v>37</v>
      </c>
      <c r="B132" s="292">
        <f>G129/H129</f>
        <v>1309.2607544828707</v>
      </c>
      <c r="C132" s="292"/>
      <c r="D132" s="292"/>
      <c r="E132" s="292"/>
      <c r="F132" s="292"/>
      <c r="G132" s="292"/>
      <c r="H132" s="292"/>
      <c r="I132" s="293"/>
      <c r="J132" s="292"/>
      <c r="K132" s="292"/>
      <c r="L132" s="292"/>
      <c r="M132" s="45"/>
      <c r="N132" s="45"/>
      <c r="O132" s="45"/>
      <c r="P132" s="45"/>
      <c r="Q132" s="45"/>
      <c r="R132" s="45"/>
      <c r="S132" s="45"/>
      <c r="T132" s="45"/>
      <c r="U132" s="45"/>
      <c r="V132" s="45"/>
      <c r="W132" s="45"/>
      <c r="X132" s="45"/>
      <c r="Y132" s="45"/>
      <c r="Z132" s="45"/>
      <c r="AA132" s="45"/>
    </row>
    <row r="133" spans="1:27">
      <c r="A133" s="295" t="s">
        <v>43</v>
      </c>
      <c r="B133" s="292">
        <f>H10-G10</f>
        <v>20</v>
      </c>
      <c r="C133" s="292"/>
      <c r="D133" s="292"/>
      <c r="E133" s="292"/>
      <c r="F133" s="292"/>
      <c r="G133" s="292"/>
      <c r="H133" s="292"/>
      <c r="I133" s="293"/>
      <c r="J133" s="292"/>
      <c r="K133" s="292"/>
      <c r="L133" s="292"/>
      <c r="M133" s="45"/>
      <c r="N133" s="45"/>
      <c r="O133" s="45"/>
      <c r="P133" s="45"/>
      <c r="Q133" s="45"/>
      <c r="R133" s="45"/>
      <c r="S133" s="45"/>
      <c r="T133" s="45"/>
      <c r="U133" s="45"/>
      <c r="V133" s="45"/>
      <c r="W133" s="45"/>
      <c r="X133" s="45"/>
      <c r="Y133" s="45"/>
      <c r="Z133" s="45"/>
      <c r="AA133" s="45"/>
    </row>
    <row r="134" spans="1:27">
      <c r="A134" s="295" t="s">
        <v>44</v>
      </c>
      <c r="B134" s="302">
        <f>G129*360</f>
        <v>114413426142.64909</v>
      </c>
      <c r="C134" s="292"/>
      <c r="D134" s="292"/>
      <c r="E134" s="292"/>
      <c r="F134" s="292"/>
      <c r="G134" s="292"/>
      <c r="H134" s="292"/>
      <c r="I134" s="293"/>
      <c r="J134" s="292"/>
      <c r="K134" s="292"/>
      <c r="L134" s="292"/>
      <c r="M134" s="45"/>
      <c r="N134" s="45"/>
      <c r="O134" s="45"/>
      <c r="P134" s="45"/>
      <c r="Q134" s="45"/>
      <c r="R134" s="45"/>
      <c r="S134" s="45"/>
      <c r="T134" s="45"/>
      <c r="U134" s="45"/>
      <c r="V134" s="45"/>
      <c r="W134" s="45"/>
      <c r="X134" s="45"/>
      <c r="Y134" s="45"/>
      <c r="Z134" s="45"/>
      <c r="AA134" s="45"/>
    </row>
    <row r="135" spans="1:27">
      <c r="A135" s="295" t="s">
        <v>40</v>
      </c>
      <c r="B135" s="292">
        <f>K129/H129</f>
        <v>1309.2607544828707</v>
      </c>
      <c r="C135" s="292"/>
      <c r="D135" s="292"/>
      <c r="E135" s="292"/>
      <c r="F135" s="292"/>
      <c r="G135" s="292"/>
      <c r="H135" s="292"/>
      <c r="I135" s="293"/>
      <c r="J135" s="292"/>
      <c r="K135" s="292"/>
      <c r="L135" s="292"/>
      <c r="M135" s="45"/>
      <c r="N135" s="45"/>
      <c r="O135" s="45"/>
      <c r="P135" s="45"/>
      <c r="Q135" s="45"/>
      <c r="R135" s="45"/>
      <c r="S135" s="45"/>
      <c r="T135" s="45"/>
      <c r="U135" s="45"/>
      <c r="V135" s="45"/>
      <c r="W135" s="45"/>
      <c r="X135" s="45"/>
      <c r="Y135" s="45"/>
      <c r="Z135" s="45"/>
      <c r="AA135" s="45"/>
    </row>
    <row r="136" spans="1:27">
      <c r="A136" s="295" t="s">
        <v>42</v>
      </c>
      <c r="B136" s="306">
        <f>K129/G129-1</f>
        <v>0</v>
      </c>
      <c r="C136" s="292"/>
      <c r="D136" s="292"/>
      <c r="E136" s="292"/>
      <c r="F136" s="292"/>
      <c r="G136" s="292"/>
      <c r="H136" s="292"/>
      <c r="I136" s="293"/>
      <c r="J136" s="292"/>
      <c r="K136" s="292"/>
      <c r="L136" s="292"/>
      <c r="M136" s="45"/>
      <c r="N136" s="45"/>
      <c r="O136" s="45"/>
      <c r="P136" s="45"/>
      <c r="Q136" s="45"/>
      <c r="R136" s="45"/>
      <c r="S136" s="45"/>
      <c r="T136" s="45"/>
      <c r="U136" s="45"/>
      <c r="V136" s="45"/>
      <c r="W136" s="45"/>
      <c r="X136" s="45"/>
      <c r="Y136" s="45"/>
      <c r="Z136" s="45"/>
      <c r="AA136" s="45"/>
    </row>
    <row r="137" spans="1:27">
      <c r="A137" s="45"/>
      <c r="B137" s="45"/>
      <c r="C137" s="45"/>
      <c r="D137" s="45"/>
      <c r="E137" s="45"/>
      <c r="F137" s="45"/>
      <c r="G137" s="45"/>
      <c r="H137" s="45"/>
      <c r="I137" s="56"/>
      <c r="J137" s="45"/>
      <c r="K137" s="45"/>
      <c r="L137" s="45"/>
      <c r="M137" s="45"/>
      <c r="N137" s="45"/>
      <c r="O137" s="45"/>
      <c r="P137" s="45"/>
      <c r="Q137" s="45"/>
      <c r="R137" s="45"/>
      <c r="S137" s="45"/>
      <c r="T137" s="45"/>
      <c r="U137" s="45"/>
      <c r="V137" s="45"/>
      <c r="W137" s="45"/>
      <c r="X137" s="45"/>
      <c r="Y137" s="45"/>
      <c r="Z137" s="45"/>
      <c r="AA137" s="45"/>
    </row>
    <row r="138" spans="1:27">
      <c r="A138" s="45"/>
      <c r="B138" s="45"/>
      <c r="C138" s="45"/>
      <c r="D138" s="45"/>
      <c r="E138" s="45"/>
      <c r="F138" s="45"/>
      <c r="G138" s="45"/>
      <c r="H138" s="45"/>
      <c r="I138" s="56"/>
      <c r="J138" s="45"/>
      <c r="K138" s="45"/>
      <c r="L138" s="45"/>
      <c r="M138" s="45"/>
      <c r="N138" s="45"/>
      <c r="O138" s="45"/>
      <c r="P138" s="45"/>
      <c r="Q138" s="45"/>
      <c r="R138" s="45"/>
      <c r="S138" s="45"/>
      <c r="T138" s="45"/>
      <c r="U138" s="45"/>
      <c r="V138" s="45"/>
      <c r="W138" s="45"/>
      <c r="X138" s="45"/>
      <c r="Y138" s="45"/>
      <c r="Z138" s="45"/>
      <c r="AA138" s="45"/>
    </row>
    <row r="139" spans="1:27">
      <c r="A139" s="45"/>
      <c r="B139" s="45"/>
      <c r="C139" s="45"/>
      <c r="D139" s="45"/>
      <c r="E139" s="45"/>
      <c r="F139" s="45"/>
      <c r="G139" s="45"/>
      <c r="H139" s="45"/>
      <c r="I139" s="56"/>
      <c r="J139" s="45"/>
      <c r="K139" s="45"/>
      <c r="L139" s="45"/>
      <c r="M139" s="45"/>
      <c r="N139" s="45"/>
      <c r="O139" s="45"/>
      <c r="P139" s="45"/>
      <c r="Q139" s="45"/>
      <c r="R139" s="45"/>
      <c r="S139" s="45"/>
      <c r="T139" s="45"/>
      <c r="U139" s="45"/>
      <c r="V139" s="45"/>
      <c r="W139" s="45"/>
      <c r="X139" s="45"/>
      <c r="Y139" s="45"/>
      <c r="Z139" s="45"/>
      <c r="AA139" s="45"/>
    </row>
    <row r="140" spans="1:27">
      <c r="A140" s="45"/>
      <c r="B140" s="45"/>
      <c r="C140" s="45"/>
      <c r="D140" s="45"/>
      <c r="E140" s="45"/>
      <c r="F140" s="45"/>
      <c r="G140" s="45"/>
      <c r="H140" s="45"/>
      <c r="I140" s="56"/>
      <c r="J140" s="45"/>
      <c r="K140" s="45"/>
      <c r="L140" s="45"/>
      <c r="M140" s="45"/>
      <c r="N140" s="45"/>
      <c r="O140" s="45"/>
      <c r="P140" s="45"/>
      <c r="Q140" s="45"/>
      <c r="R140" s="45"/>
      <c r="S140" s="45"/>
      <c r="T140" s="45"/>
      <c r="U140" s="45"/>
      <c r="V140" s="45"/>
      <c r="W140" s="45"/>
      <c r="X140" s="45"/>
      <c r="Y140" s="45"/>
      <c r="Z140" s="45"/>
      <c r="AA140" s="45"/>
    </row>
    <row r="141" spans="1:27">
      <c r="A141" s="45"/>
      <c r="B141" s="45"/>
      <c r="C141" s="45"/>
      <c r="D141" s="45"/>
      <c r="E141" s="45"/>
      <c r="F141" s="45"/>
      <c r="G141" s="45"/>
      <c r="H141" s="45"/>
      <c r="I141" s="56"/>
      <c r="J141" s="45"/>
      <c r="K141" s="45"/>
      <c r="L141" s="45"/>
      <c r="M141" s="45"/>
      <c r="N141" s="45"/>
      <c r="O141" s="45"/>
      <c r="P141" s="45"/>
      <c r="Q141" s="45"/>
      <c r="R141" s="45"/>
      <c r="S141" s="45"/>
      <c r="T141" s="45"/>
      <c r="U141" s="45"/>
      <c r="V141" s="45"/>
      <c r="W141" s="45"/>
      <c r="X141" s="45"/>
      <c r="Y141" s="45"/>
      <c r="Z141" s="45"/>
      <c r="AA141" s="45"/>
    </row>
    <row r="142" spans="1:27">
      <c r="A142" s="45"/>
      <c r="B142" s="45"/>
      <c r="C142" s="45"/>
      <c r="D142" s="45"/>
      <c r="E142" s="45"/>
      <c r="F142" s="45"/>
      <c r="G142" s="45"/>
      <c r="H142" s="45"/>
      <c r="I142" s="56"/>
      <c r="J142" s="45"/>
      <c r="K142" s="45"/>
      <c r="L142" s="45"/>
      <c r="M142" s="45"/>
      <c r="N142" s="45"/>
      <c r="O142" s="45"/>
      <c r="P142" s="45"/>
      <c r="Q142" s="45"/>
      <c r="R142" s="45"/>
      <c r="S142" s="45"/>
      <c r="T142" s="45"/>
      <c r="U142" s="45"/>
      <c r="V142" s="45"/>
      <c r="W142" s="45"/>
      <c r="X142" s="45"/>
      <c r="Y142" s="45"/>
      <c r="Z142" s="45"/>
      <c r="AA142" s="45"/>
    </row>
    <row r="143" spans="1:27">
      <c r="A143" s="45"/>
      <c r="B143" s="45"/>
      <c r="C143" s="45"/>
      <c r="D143" s="45"/>
      <c r="E143" s="45"/>
      <c r="F143" s="45"/>
      <c r="G143" s="45"/>
      <c r="H143" s="45"/>
      <c r="I143" s="56"/>
      <c r="J143" s="45"/>
      <c r="K143" s="45"/>
      <c r="L143" s="45"/>
      <c r="M143" s="45"/>
      <c r="N143" s="45"/>
      <c r="O143" s="45"/>
      <c r="P143" s="45"/>
      <c r="Q143" s="45"/>
      <c r="R143" s="45"/>
      <c r="S143" s="45"/>
      <c r="T143" s="45"/>
      <c r="U143" s="45"/>
      <c r="V143" s="45"/>
      <c r="W143" s="45"/>
      <c r="X143" s="45"/>
      <c r="Y143" s="45"/>
      <c r="Z143" s="45"/>
      <c r="AA143" s="45"/>
    </row>
    <row r="144" spans="1:27">
      <c r="A144" s="45"/>
      <c r="B144" s="45"/>
      <c r="C144" s="45"/>
      <c r="D144" s="45"/>
      <c r="E144" s="45"/>
      <c r="F144" s="45"/>
      <c r="G144" s="45"/>
      <c r="H144" s="45"/>
      <c r="I144" s="56"/>
      <c r="J144" s="45"/>
      <c r="K144" s="45"/>
      <c r="L144" s="45"/>
      <c r="M144" s="45"/>
      <c r="N144" s="45"/>
      <c r="O144" s="45"/>
      <c r="P144" s="45"/>
      <c r="Q144" s="45"/>
      <c r="R144" s="45"/>
      <c r="S144" s="45"/>
      <c r="T144" s="45"/>
      <c r="U144" s="45"/>
      <c r="V144" s="45"/>
      <c r="W144" s="45"/>
      <c r="X144" s="45"/>
      <c r="Y144" s="45"/>
      <c r="Z144" s="45"/>
      <c r="AA144" s="45"/>
    </row>
    <row r="145" spans="1:27">
      <c r="A145" s="45"/>
      <c r="B145" s="45"/>
      <c r="C145" s="45"/>
      <c r="D145" s="45"/>
      <c r="E145" s="45"/>
      <c r="F145" s="45"/>
      <c r="G145" s="45"/>
      <c r="H145" s="45"/>
      <c r="I145" s="56"/>
      <c r="J145" s="45"/>
      <c r="K145" s="45"/>
      <c r="L145" s="45"/>
      <c r="M145" s="45"/>
      <c r="N145" s="45"/>
      <c r="O145" s="45"/>
      <c r="P145" s="45"/>
      <c r="Q145" s="45"/>
      <c r="R145" s="45"/>
      <c r="S145" s="45"/>
      <c r="T145" s="45"/>
      <c r="U145" s="45"/>
      <c r="V145" s="45"/>
      <c r="W145" s="45"/>
      <c r="X145" s="45"/>
      <c r="Y145" s="45"/>
      <c r="Z145" s="45"/>
      <c r="AA145" s="45"/>
    </row>
    <row r="146" spans="1:27">
      <c r="A146" s="45"/>
      <c r="B146" s="45"/>
      <c r="C146" s="45"/>
      <c r="D146" s="45"/>
      <c r="E146" s="45"/>
      <c r="F146" s="45"/>
      <c r="G146" s="45"/>
      <c r="H146" s="45"/>
      <c r="I146" s="56"/>
      <c r="J146" s="45"/>
      <c r="K146" s="45"/>
      <c r="L146" s="45"/>
      <c r="M146" s="45"/>
      <c r="N146" s="45"/>
      <c r="O146" s="45"/>
      <c r="P146" s="45"/>
      <c r="Q146" s="45"/>
      <c r="R146" s="45"/>
      <c r="S146" s="45"/>
      <c r="T146" s="45"/>
      <c r="U146" s="45"/>
      <c r="V146" s="45"/>
      <c r="W146" s="45"/>
      <c r="X146" s="45"/>
      <c r="Y146" s="45"/>
      <c r="Z146" s="45"/>
      <c r="AA146" s="45"/>
    </row>
    <row r="147" spans="1:27">
      <c r="A147" s="45"/>
      <c r="B147" s="45"/>
      <c r="C147" s="45"/>
      <c r="D147" s="45"/>
      <c r="E147" s="45"/>
      <c r="F147" s="45"/>
      <c r="G147" s="45"/>
      <c r="H147" s="45"/>
      <c r="I147" s="56"/>
      <c r="J147" s="45"/>
      <c r="K147" s="45"/>
      <c r="L147" s="45"/>
      <c r="M147" s="45"/>
      <c r="N147" s="45"/>
      <c r="O147" s="45"/>
      <c r="P147" s="45"/>
      <c r="Q147" s="45"/>
      <c r="R147" s="45"/>
      <c r="S147" s="45"/>
      <c r="T147" s="45"/>
      <c r="U147" s="45"/>
      <c r="V147" s="45"/>
      <c r="W147" s="45"/>
      <c r="X147" s="45"/>
      <c r="Y147" s="45"/>
      <c r="Z147" s="45"/>
      <c r="AA147" s="45"/>
    </row>
    <row r="148" spans="1:27">
      <c r="A148" s="45"/>
      <c r="B148" s="45"/>
      <c r="C148" s="45"/>
      <c r="D148" s="45"/>
      <c r="E148" s="45"/>
      <c r="F148" s="45"/>
      <c r="G148" s="45"/>
      <c r="H148" s="45"/>
      <c r="I148" s="56"/>
      <c r="J148" s="45"/>
      <c r="K148" s="45"/>
      <c r="L148" s="45"/>
      <c r="M148" s="45"/>
      <c r="N148" s="45"/>
      <c r="O148" s="45"/>
      <c r="P148" s="45"/>
      <c r="Q148" s="45"/>
      <c r="R148" s="45"/>
      <c r="S148" s="45"/>
      <c r="T148" s="45"/>
      <c r="U148" s="45"/>
      <c r="V148" s="45"/>
      <c r="W148" s="45"/>
      <c r="X148" s="45"/>
      <c r="Y148" s="45"/>
      <c r="Z148" s="45"/>
      <c r="AA148" s="45"/>
    </row>
    <row r="149" spans="1:27">
      <c r="A149" s="45"/>
      <c r="B149" s="45"/>
      <c r="C149" s="45"/>
      <c r="D149" s="45"/>
      <c r="E149" s="45"/>
      <c r="F149" s="45"/>
      <c r="G149" s="45"/>
      <c r="H149" s="45"/>
      <c r="I149" s="56"/>
      <c r="J149" s="45"/>
      <c r="K149" s="45"/>
      <c r="L149" s="45"/>
      <c r="M149" s="45"/>
      <c r="N149" s="45"/>
      <c r="O149" s="45"/>
      <c r="P149" s="45"/>
      <c r="Q149" s="45"/>
      <c r="R149" s="45"/>
      <c r="S149" s="45"/>
      <c r="T149" s="45"/>
      <c r="U149" s="45"/>
      <c r="V149" s="45"/>
      <c r="W149" s="45"/>
      <c r="X149" s="45"/>
      <c r="Y149" s="45"/>
      <c r="Z149" s="45"/>
      <c r="AA149" s="45"/>
    </row>
    <row r="150" spans="1:27">
      <c r="A150" s="45"/>
      <c r="B150" s="45"/>
      <c r="C150" s="45"/>
      <c r="D150" s="45"/>
      <c r="E150" s="45"/>
      <c r="F150" s="45"/>
      <c r="G150" s="45"/>
      <c r="H150" s="45"/>
      <c r="I150" s="56"/>
      <c r="J150" s="45"/>
      <c r="K150" s="45"/>
      <c r="L150" s="45"/>
      <c r="M150" s="45"/>
      <c r="N150" s="45"/>
      <c r="O150" s="45"/>
      <c r="P150" s="45"/>
      <c r="Q150" s="45"/>
      <c r="R150" s="45"/>
      <c r="S150" s="45"/>
      <c r="T150" s="45"/>
      <c r="U150" s="45"/>
      <c r="V150" s="45"/>
      <c r="W150" s="45"/>
      <c r="X150" s="45"/>
      <c r="Y150" s="45"/>
      <c r="Z150" s="45"/>
      <c r="AA150" s="45"/>
    </row>
    <row r="151" spans="1:27">
      <c r="A151" s="45"/>
      <c r="B151" s="45"/>
      <c r="C151" s="45"/>
      <c r="D151" s="45"/>
      <c r="E151" s="45"/>
      <c r="F151" s="45"/>
      <c r="G151" s="45"/>
      <c r="H151" s="45"/>
      <c r="I151" s="56"/>
      <c r="J151" s="45"/>
      <c r="K151" s="45"/>
      <c r="L151" s="45"/>
      <c r="M151" s="45"/>
      <c r="N151" s="45"/>
      <c r="O151" s="45"/>
      <c r="P151" s="45"/>
      <c r="Q151" s="45"/>
      <c r="R151" s="45"/>
      <c r="S151" s="45"/>
      <c r="T151" s="45"/>
      <c r="U151" s="45"/>
      <c r="V151" s="45"/>
      <c r="W151" s="45"/>
      <c r="X151" s="45"/>
      <c r="Y151" s="45"/>
      <c r="Z151" s="45"/>
      <c r="AA151" s="45"/>
    </row>
    <row r="152" spans="1:27">
      <c r="A152" s="45"/>
      <c r="B152" s="45"/>
      <c r="C152" s="45"/>
      <c r="D152" s="45"/>
      <c r="E152" s="45"/>
      <c r="F152" s="45"/>
      <c r="G152" s="45"/>
      <c r="H152" s="45"/>
      <c r="I152" s="56"/>
      <c r="J152" s="45"/>
      <c r="K152" s="45"/>
      <c r="L152" s="45"/>
      <c r="M152" s="45"/>
      <c r="N152" s="45"/>
      <c r="O152" s="45"/>
      <c r="P152" s="45"/>
      <c r="Q152" s="45"/>
      <c r="R152" s="45"/>
      <c r="S152" s="45"/>
      <c r="T152" s="45"/>
      <c r="U152" s="45"/>
      <c r="V152" s="45"/>
      <c r="W152" s="45"/>
      <c r="X152" s="45"/>
      <c r="Y152" s="45"/>
      <c r="Z152" s="45"/>
      <c r="AA152" s="45"/>
    </row>
    <row r="153" spans="1:27">
      <c r="A153" s="45"/>
      <c r="B153" s="45"/>
      <c r="C153" s="45"/>
      <c r="D153" s="45"/>
      <c r="E153" s="45"/>
      <c r="F153" s="45"/>
      <c r="G153" s="45"/>
      <c r="H153" s="45"/>
      <c r="I153" s="56"/>
      <c r="J153" s="45"/>
      <c r="K153" s="45"/>
      <c r="L153" s="45"/>
      <c r="M153" s="45"/>
      <c r="N153" s="45"/>
      <c r="O153" s="45"/>
      <c r="P153" s="45"/>
      <c r="Q153" s="45"/>
      <c r="R153" s="45"/>
      <c r="S153" s="45"/>
      <c r="T153" s="45"/>
      <c r="U153" s="45"/>
      <c r="V153" s="45"/>
      <c r="W153" s="45"/>
      <c r="X153" s="45"/>
      <c r="Y153" s="45"/>
      <c r="Z153" s="45"/>
      <c r="AA153" s="45"/>
    </row>
    <row r="154" spans="1:27">
      <c r="A154" s="45"/>
      <c r="B154" s="45"/>
      <c r="C154" s="45"/>
      <c r="D154" s="45"/>
      <c r="E154" s="45"/>
      <c r="F154" s="45"/>
      <c r="G154" s="45"/>
      <c r="H154" s="45"/>
      <c r="I154" s="56"/>
      <c r="J154" s="45"/>
      <c r="K154" s="45"/>
      <c r="L154" s="45"/>
      <c r="M154" s="45"/>
      <c r="N154" s="45"/>
      <c r="O154" s="45"/>
      <c r="P154" s="45"/>
      <c r="Q154" s="45"/>
      <c r="R154" s="45"/>
      <c r="S154" s="45"/>
      <c r="T154" s="45"/>
      <c r="U154" s="45"/>
      <c r="V154" s="45"/>
      <c r="W154" s="45"/>
      <c r="X154" s="45"/>
      <c r="Y154" s="45"/>
      <c r="Z154" s="45"/>
      <c r="AA154" s="45"/>
    </row>
    <row r="155" spans="1:27">
      <c r="A155" s="45"/>
      <c r="B155" s="45"/>
      <c r="C155" s="45"/>
      <c r="D155" s="45"/>
      <c r="E155" s="45"/>
      <c r="F155" s="45"/>
      <c r="G155" s="45"/>
      <c r="H155" s="45"/>
      <c r="I155" s="56"/>
      <c r="J155" s="45"/>
      <c r="K155" s="45"/>
      <c r="L155" s="45"/>
      <c r="M155" s="45"/>
      <c r="N155" s="45"/>
      <c r="O155" s="45"/>
      <c r="P155" s="45"/>
      <c r="Q155" s="45"/>
      <c r="R155" s="45"/>
      <c r="S155" s="45"/>
      <c r="T155" s="45"/>
      <c r="U155" s="45"/>
      <c r="V155" s="45"/>
      <c r="W155" s="45"/>
      <c r="X155" s="45"/>
      <c r="Y155" s="45"/>
      <c r="Z155" s="45"/>
      <c r="AA155" s="45"/>
    </row>
    <row r="156" spans="1:27">
      <c r="A156" s="45"/>
      <c r="B156" s="45"/>
      <c r="C156" s="45"/>
      <c r="D156" s="45"/>
      <c r="E156" s="45"/>
      <c r="F156" s="45"/>
      <c r="G156" s="45"/>
      <c r="H156" s="45"/>
      <c r="I156" s="56"/>
      <c r="J156" s="45"/>
      <c r="K156" s="45"/>
      <c r="L156" s="45"/>
      <c r="M156" s="45"/>
      <c r="N156" s="45"/>
      <c r="O156" s="45"/>
      <c r="P156" s="45"/>
      <c r="Q156" s="45"/>
      <c r="R156" s="45"/>
      <c r="S156" s="45"/>
      <c r="T156" s="45"/>
      <c r="U156" s="45"/>
      <c r="V156" s="45"/>
      <c r="W156" s="45"/>
      <c r="X156" s="45"/>
      <c r="Y156" s="45"/>
      <c r="Z156" s="45"/>
      <c r="AA156" s="45"/>
    </row>
    <row r="157" spans="1:27">
      <c r="A157" s="45"/>
      <c r="B157" s="45"/>
      <c r="C157" s="45"/>
      <c r="D157" s="45"/>
      <c r="E157" s="45"/>
      <c r="F157" s="45"/>
      <c r="G157" s="45"/>
      <c r="H157" s="45"/>
      <c r="I157" s="56"/>
      <c r="J157" s="45"/>
      <c r="K157" s="45"/>
      <c r="L157" s="45"/>
      <c r="M157" s="45"/>
      <c r="N157" s="45"/>
      <c r="O157" s="45"/>
      <c r="P157" s="45"/>
      <c r="Q157" s="45"/>
      <c r="R157" s="45"/>
      <c r="S157" s="45"/>
      <c r="T157" s="45"/>
      <c r="U157" s="45"/>
      <c r="V157" s="45"/>
      <c r="W157" s="45"/>
      <c r="X157" s="45"/>
      <c r="Y157" s="45"/>
      <c r="Z157" s="45"/>
      <c r="AA157" s="45"/>
    </row>
    <row r="158" spans="1:27">
      <c r="A158" s="45"/>
      <c r="B158" s="45"/>
      <c r="C158" s="45"/>
      <c r="D158" s="45"/>
      <c r="E158" s="45"/>
      <c r="F158" s="45"/>
      <c r="G158" s="45"/>
      <c r="H158" s="45"/>
      <c r="I158" s="56"/>
      <c r="J158" s="45"/>
      <c r="K158" s="45"/>
      <c r="L158" s="45"/>
      <c r="M158" s="45"/>
      <c r="N158" s="45"/>
      <c r="O158" s="45"/>
      <c r="P158" s="45"/>
      <c r="Q158" s="45"/>
      <c r="R158" s="45"/>
      <c r="S158" s="45"/>
      <c r="T158" s="45"/>
      <c r="U158" s="45"/>
      <c r="V158" s="45"/>
      <c r="W158" s="45"/>
      <c r="X158" s="45"/>
      <c r="Y158" s="45"/>
      <c r="Z158" s="45"/>
      <c r="AA158" s="45"/>
    </row>
    <row r="159" spans="1:27">
      <c r="A159" s="45"/>
      <c r="B159" s="45"/>
      <c r="C159" s="45"/>
      <c r="D159" s="45"/>
      <c r="E159" s="45"/>
      <c r="F159" s="45"/>
      <c r="G159" s="45"/>
      <c r="H159" s="45"/>
      <c r="I159" s="56"/>
      <c r="J159" s="45"/>
      <c r="K159" s="45"/>
      <c r="L159" s="45"/>
      <c r="M159" s="45"/>
      <c r="N159" s="45"/>
      <c r="O159" s="45"/>
      <c r="P159" s="45"/>
      <c r="Q159" s="45"/>
      <c r="R159" s="45"/>
      <c r="S159" s="45"/>
      <c r="T159" s="45"/>
      <c r="U159" s="45"/>
      <c r="V159" s="45"/>
      <c r="W159" s="45"/>
      <c r="X159" s="45"/>
      <c r="Y159" s="45"/>
      <c r="Z159" s="45"/>
      <c r="AA159" s="45"/>
    </row>
    <row r="160" spans="1:27">
      <c r="A160" s="45"/>
      <c r="B160" s="45"/>
      <c r="C160" s="45"/>
      <c r="D160" s="45"/>
      <c r="E160" s="45"/>
      <c r="F160" s="45"/>
      <c r="G160" s="45"/>
      <c r="H160" s="45"/>
      <c r="I160" s="56"/>
      <c r="J160" s="45"/>
      <c r="K160" s="45"/>
      <c r="L160" s="45"/>
      <c r="M160" s="45"/>
      <c r="N160" s="45"/>
      <c r="O160" s="45"/>
      <c r="P160" s="45"/>
      <c r="Q160" s="45"/>
      <c r="R160" s="45"/>
      <c r="S160" s="45"/>
      <c r="T160" s="45"/>
      <c r="U160" s="45"/>
      <c r="V160" s="45"/>
      <c r="W160" s="45"/>
      <c r="X160" s="45"/>
      <c r="Y160" s="45"/>
      <c r="Z160" s="45"/>
      <c r="AA160" s="45"/>
    </row>
    <row r="161" spans="1:27">
      <c r="A161" s="45"/>
      <c r="B161" s="45"/>
      <c r="C161" s="45"/>
      <c r="D161" s="45"/>
      <c r="E161" s="45"/>
      <c r="F161" s="45"/>
      <c r="G161" s="45"/>
      <c r="H161" s="45"/>
      <c r="I161" s="56"/>
      <c r="J161" s="45"/>
      <c r="K161" s="45"/>
      <c r="L161" s="45"/>
      <c r="M161" s="45"/>
      <c r="N161" s="45"/>
      <c r="O161" s="45"/>
      <c r="P161" s="45"/>
      <c r="Q161" s="45"/>
      <c r="R161" s="45"/>
      <c r="S161" s="45"/>
      <c r="T161" s="45"/>
      <c r="U161" s="45"/>
      <c r="V161" s="45"/>
      <c r="W161" s="45"/>
      <c r="X161" s="45"/>
      <c r="Y161" s="45"/>
      <c r="Z161" s="45"/>
      <c r="AA161" s="45"/>
    </row>
    <row r="162" spans="1:27">
      <c r="A162" s="45"/>
      <c r="B162" s="45"/>
      <c r="C162" s="45"/>
      <c r="D162" s="45"/>
      <c r="E162" s="45"/>
      <c r="F162" s="45"/>
      <c r="G162" s="45"/>
      <c r="H162" s="45"/>
      <c r="I162" s="56"/>
      <c r="J162" s="45"/>
      <c r="K162" s="45"/>
      <c r="L162" s="45"/>
      <c r="M162" s="45"/>
      <c r="N162" s="45"/>
      <c r="O162" s="45"/>
      <c r="P162" s="45"/>
      <c r="Q162" s="45"/>
      <c r="R162" s="45"/>
      <c r="S162" s="45"/>
      <c r="T162" s="45"/>
      <c r="U162" s="45"/>
      <c r="V162" s="45"/>
      <c r="W162" s="45"/>
      <c r="X162" s="45"/>
      <c r="Y162" s="45"/>
      <c r="Z162" s="45"/>
      <c r="AA162" s="45"/>
    </row>
    <row r="163" spans="1:27">
      <c r="A163" s="45"/>
      <c r="B163" s="45"/>
      <c r="C163" s="45"/>
      <c r="D163" s="45"/>
      <c r="E163" s="45"/>
      <c r="F163" s="45"/>
      <c r="G163" s="45"/>
      <c r="H163" s="45"/>
      <c r="I163" s="56"/>
      <c r="J163" s="45"/>
      <c r="K163" s="45"/>
      <c r="L163" s="45"/>
      <c r="M163" s="45"/>
      <c r="N163" s="45"/>
      <c r="O163" s="45"/>
      <c r="P163" s="45"/>
      <c r="Q163" s="45"/>
      <c r="R163" s="45"/>
      <c r="S163" s="45"/>
      <c r="T163" s="45"/>
      <c r="U163" s="45"/>
      <c r="V163" s="45"/>
      <c r="W163" s="45"/>
      <c r="X163" s="45"/>
      <c r="Y163" s="45"/>
      <c r="Z163" s="45"/>
      <c r="AA163" s="45"/>
    </row>
    <row r="164" spans="1:27">
      <c r="A164" s="45"/>
      <c r="B164" s="45"/>
      <c r="C164" s="45"/>
      <c r="D164" s="45"/>
      <c r="E164" s="45"/>
      <c r="F164" s="45"/>
      <c r="G164" s="45"/>
      <c r="H164" s="45"/>
      <c r="I164" s="56"/>
      <c r="J164" s="45"/>
      <c r="K164" s="45"/>
      <c r="L164" s="45"/>
      <c r="M164" s="45"/>
      <c r="N164" s="45"/>
      <c r="O164" s="45"/>
      <c r="P164" s="45"/>
      <c r="Q164" s="45"/>
      <c r="R164" s="45"/>
      <c r="S164" s="45"/>
      <c r="T164" s="45"/>
      <c r="U164" s="45"/>
      <c r="V164" s="45"/>
      <c r="W164" s="45"/>
      <c r="X164" s="45"/>
      <c r="Y164" s="45"/>
      <c r="Z164" s="45"/>
      <c r="AA164" s="45"/>
    </row>
    <row r="165" spans="1:27">
      <c r="A165" s="45"/>
      <c r="B165" s="45"/>
      <c r="C165" s="45"/>
      <c r="D165" s="45"/>
      <c r="E165" s="45"/>
      <c r="F165" s="45"/>
      <c r="G165" s="45"/>
      <c r="H165" s="45"/>
      <c r="I165" s="56"/>
      <c r="J165" s="45"/>
      <c r="K165" s="45"/>
      <c r="L165" s="45"/>
      <c r="M165" s="45"/>
      <c r="N165" s="45"/>
      <c r="O165" s="45"/>
      <c r="P165" s="45"/>
      <c r="Q165" s="45"/>
      <c r="R165" s="45"/>
      <c r="S165" s="45"/>
      <c r="T165" s="45"/>
      <c r="U165" s="45"/>
      <c r="V165" s="45"/>
      <c r="W165" s="45"/>
      <c r="X165" s="45"/>
      <c r="Y165" s="45"/>
      <c r="Z165" s="45"/>
      <c r="AA165" s="45"/>
    </row>
    <row r="166" spans="1:27">
      <c r="A166" s="45"/>
      <c r="B166" s="45"/>
      <c r="C166" s="45"/>
      <c r="D166" s="45"/>
      <c r="E166" s="45"/>
      <c r="F166" s="45"/>
      <c r="G166" s="45"/>
      <c r="H166" s="45"/>
      <c r="I166" s="56"/>
      <c r="J166" s="45"/>
      <c r="K166" s="45"/>
      <c r="L166" s="45"/>
      <c r="M166" s="45"/>
      <c r="N166" s="45"/>
      <c r="O166" s="45"/>
      <c r="P166" s="45"/>
      <c r="Q166" s="45"/>
      <c r="R166" s="45"/>
      <c r="S166" s="45"/>
      <c r="T166" s="45"/>
      <c r="U166" s="45"/>
      <c r="V166" s="45"/>
      <c r="W166" s="45"/>
      <c r="X166" s="45"/>
      <c r="Y166" s="45"/>
      <c r="Z166" s="45"/>
      <c r="AA166" s="45"/>
    </row>
    <row r="167" spans="1:27">
      <c r="A167" s="45"/>
      <c r="B167" s="45"/>
      <c r="C167" s="45"/>
      <c r="D167" s="45"/>
      <c r="E167" s="45"/>
      <c r="F167" s="45"/>
      <c r="G167" s="45"/>
      <c r="H167" s="45"/>
      <c r="I167" s="56"/>
      <c r="J167" s="45"/>
      <c r="K167" s="45"/>
      <c r="L167" s="45"/>
      <c r="M167" s="45"/>
      <c r="N167" s="45"/>
      <c r="O167" s="45"/>
      <c r="P167" s="45"/>
      <c r="Q167" s="45"/>
      <c r="R167" s="45"/>
      <c r="S167" s="45"/>
      <c r="T167" s="45"/>
      <c r="U167" s="45"/>
      <c r="V167" s="45"/>
      <c r="W167" s="45"/>
      <c r="X167" s="45"/>
      <c r="Y167" s="45"/>
      <c r="Z167" s="45"/>
      <c r="AA167" s="45"/>
    </row>
    <row r="168" spans="1:27">
      <c r="A168" s="45"/>
      <c r="B168" s="45"/>
      <c r="C168" s="45"/>
      <c r="D168" s="45"/>
      <c r="E168" s="45"/>
      <c r="F168" s="45"/>
      <c r="G168" s="45"/>
      <c r="H168" s="45"/>
      <c r="I168" s="56"/>
      <c r="J168" s="45"/>
      <c r="K168" s="45"/>
      <c r="L168" s="45"/>
      <c r="M168" s="45"/>
      <c r="N168" s="45"/>
      <c r="O168" s="45"/>
      <c r="P168" s="45"/>
      <c r="Q168" s="45"/>
      <c r="R168" s="45"/>
      <c r="S168" s="45"/>
      <c r="T168" s="45"/>
      <c r="U168" s="45"/>
      <c r="V168" s="45"/>
      <c r="W168" s="45"/>
      <c r="X168" s="45"/>
      <c r="Y168" s="45"/>
      <c r="Z168" s="45"/>
      <c r="AA168" s="45"/>
    </row>
    <row r="169" spans="1:27">
      <c r="A169" s="45"/>
      <c r="B169" s="45"/>
      <c r="C169" s="45"/>
      <c r="D169" s="45"/>
      <c r="E169" s="45"/>
      <c r="F169" s="45"/>
      <c r="G169" s="45"/>
      <c r="H169" s="45"/>
      <c r="I169" s="56"/>
      <c r="J169" s="45"/>
      <c r="K169" s="45"/>
      <c r="L169" s="45"/>
      <c r="M169" s="45"/>
      <c r="N169" s="45"/>
      <c r="O169" s="45"/>
      <c r="P169" s="45"/>
      <c r="Q169" s="45"/>
      <c r="R169" s="45"/>
      <c r="S169" s="45"/>
      <c r="T169" s="45"/>
      <c r="U169" s="45"/>
      <c r="V169" s="45"/>
      <c r="W169" s="45"/>
      <c r="X169" s="45"/>
      <c r="Y169" s="45"/>
      <c r="Z169" s="45"/>
      <c r="AA169" s="45"/>
    </row>
    <row r="170" spans="1:27">
      <c r="A170" s="45"/>
      <c r="B170" s="45"/>
      <c r="C170" s="45"/>
      <c r="D170" s="45"/>
      <c r="E170" s="45"/>
      <c r="F170" s="45"/>
      <c r="G170" s="45"/>
      <c r="H170" s="45"/>
      <c r="I170" s="56"/>
      <c r="J170" s="45"/>
      <c r="K170" s="45"/>
      <c r="L170" s="45"/>
      <c r="M170" s="45"/>
      <c r="N170" s="45"/>
      <c r="O170" s="45"/>
      <c r="P170" s="45"/>
      <c r="Q170" s="45"/>
      <c r="R170" s="45"/>
      <c r="S170" s="45"/>
      <c r="T170" s="45"/>
      <c r="U170" s="45"/>
      <c r="V170" s="45"/>
      <c r="W170" s="45"/>
      <c r="X170" s="45"/>
      <c r="Y170" s="45"/>
      <c r="Z170" s="45"/>
      <c r="AA170" s="45"/>
    </row>
    <row r="171" spans="1:27">
      <c r="A171" s="45"/>
      <c r="B171" s="45"/>
      <c r="C171" s="45"/>
      <c r="D171" s="45"/>
      <c r="E171" s="45"/>
      <c r="F171" s="45"/>
      <c r="G171" s="45"/>
      <c r="H171" s="45"/>
      <c r="I171" s="56"/>
      <c r="J171" s="45"/>
      <c r="K171" s="45"/>
      <c r="L171" s="45"/>
      <c r="M171" s="45"/>
      <c r="N171" s="45"/>
      <c r="O171" s="45"/>
      <c r="P171" s="45"/>
      <c r="Q171" s="45"/>
      <c r="R171" s="45"/>
      <c r="S171" s="45"/>
      <c r="T171" s="45"/>
      <c r="U171" s="45"/>
      <c r="V171" s="45"/>
      <c r="W171" s="45"/>
      <c r="X171" s="45"/>
      <c r="Y171" s="45"/>
      <c r="Z171" s="45"/>
      <c r="AA171" s="45"/>
    </row>
    <row r="172" spans="1:27">
      <c r="A172" s="45"/>
      <c r="B172" s="45"/>
      <c r="C172" s="45"/>
      <c r="D172" s="45"/>
      <c r="E172" s="45"/>
      <c r="F172" s="45"/>
      <c r="G172" s="45"/>
      <c r="H172" s="45"/>
      <c r="I172" s="56"/>
      <c r="J172" s="45"/>
      <c r="K172" s="45"/>
      <c r="L172" s="45"/>
      <c r="M172" s="45"/>
      <c r="N172" s="45"/>
      <c r="O172" s="45"/>
      <c r="P172" s="45"/>
      <c r="Q172" s="45"/>
      <c r="R172" s="45"/>
      <c r="S172" s="45"/>
      <c r="T172" s="45"/>
      <c r="U172" s="45"/>
      <c r="V172" s="45"/>
      <c r="W172" s="45"/>
      <c r="X172" s="45"/>
      <c r="Y172" s="45"/>
      <c r="Z172" s="45"/>
      <c r="AA172" s="45"/>
    </row>
    <row r="173" spans="1:27">
      <c r="A173" s="45"/>
      <c r="B173" s="45"/>
      <c r="C173" s="45"/>
      <c r="D173" s="45"/>
      <c r="E173" s="45"/>
      <c r="F173" s="45"/>
      <c r="G173" s="45"/>
      <c r="H173" s="45"/>
      <c r="I173" s="56"/>
      <c r="J173" s="45"/>
      <c r="K173" s="45"/>
      <c r="L173" s="45"/>
      <c r="M173" s="45"/>
      <c r="N173" s="45"/>
      <c r="O173" s="45"/>
      <c r="P173" s="45"/>
      <c r="Q173" s="45"/>
      <c r="R173" s="45"/>
      <c r="S173" s="45"/>
      <c r="T173" s="45"/>
      <c r="U173" s="45"/>
      <c r="V173" s="45"/>
      <c r="W173" s="45"/>
      <c r="X173" s="45"/>
      <c r="Y173" s="45"/>
      <c r="Z173" s="45"/>
      <c r="AA173" s="45"/>
    </row>
    <row r="174" spans="1:27">
      <c r="A174" s="45"/>
      <c r="B174" s="45"/>
      <c r="C174" s="45"/>
      <c r="D174" s="45"/>
      <c r="E174" s="45"/>
      <c r="F174" s="45"/>
      <c r="G174" s="45"/>
      <c r="H174" s="45"/>
      <c r="I174" s="56"/>
      <c r="J174" s="45"/>
      <c r="K174" s="45"/>
      <c r="L174" s="45"/>
      <c r="M174" s="45"/>
      <c r="N174" s="45"/>
      <c r="O174" s="45"/>
      <c r="P174" s="45"/>
      <c r="Q174" s="45"/>
      <c r="R174" s="45"/>
      <c r="S174" s="45"/>
      <c r="T174" s="45"/>
      <c r="U174" s="45"/>
      <c r="V174" s="45"/>
      <c r="W174" s="45"/>
      <c r="X174" s="45"/>
      <c r="Y174" s="45"/>
      <c r="Z174" s="45"/>
      <c r="AA174" s="45"/>
    </row>
    <row r="175" spans="1:27">
      <c r="A175" s="45"/>
      <c r="B175" s="45"/>
      <c r="C175" s="45"/>
      <c r="D175" s="45"/>
      <c r="E175" s="45"/>
      <c r="F175" s="45"/>
      <c r="G175" s="45"/>
      <c r="H175" s="45"/>
      <c r="I175" s="56"/>
      <c r="J175" s="45"/>
      <c r="K175" s="45"/>
      <c r="L175" s="45"/>
      <c r="M175" s="45"/>
      <c r="N175" s="45"/>
      <c r="O175" s="45"/>
      <c r="P175" s="45"/>
      <c r="Q175" s="45"/>
      <c r="R175" s="45"/>
      <c r="S175" s="45"/>
      <c r="T175" s="45"/>
      <c r="U175" s="45"/>
      <c r="V175" s="45"/>
      <c r="W175" s="45"/>
      <c r="X175" s="45"/>
      <c r="Y175" s="45"/>
      <c r="Z175" s="45"/>
      <c r="AA175" s="45"/>
    </row>
    <row r="176" spans="1:27">
      <c r="A176" s="45"/>
      <c r="B176" s="45"/>
      <c r="C176" s="45"/>
      <c r="D176" s="45"/>
      <c r="E176" s="45"/>
      <c r="F176" s="45"/>
      <c r="G176" s="45"/>
      <c r="H176" s="45"/>
      <c r="I176" s="56"/>
      <c r="J176" s="45"/>
      <c r="K176" s="45"/>
      <c r="L176" s="45"/>
      <c r="M176" s="45"/>
      <c r="N176" s="45"/>
      <c r="O176" s="45"/>
      <c r="P176" s="45"/>
      <c r="Q176" s="45"/>
      <c r="R176" s="45"/>
      <c r="S176" s="45"/>
      <c r="T176" s="45"/>
      <c r="U176" s="45"/>
      <c r="V176" s="45"/>
      <c r="W176" s="45"/>
      <c r="X176" s="45"/>
      <c r="Y176" s="45"/>
      <c r="Z176" s="45"/>
      <c r="AA176" s="45"/>
    </row>
    <row r="177" spans="1:27">
      <c r="A177" s="45"/>
      <c r="B177" s="45"/>
      <c r="C177" s="45"/>
      <c r="D177" s="45"/>
      <c r="E177" s="45"/>
      <c r="F177" s="45"/>
      <c r="G177" s="45"/>
      <c r="H177" s="45"/>
      <c r="I177" s="56"/>
      <c r="J177" s="45"/>
      <c r="K177" s="45"/>
      <c r="L177" s="45"/>
      <c r="M177" s="45"/>
      <c r="N177" s="45"/>
      <c r="O177" s="45"/>
      <c r="P177" s="45"/>
      <c r="Q177" s="45"/>
      <c r="R177" s="45"/>
      <c r="S177" s="45"/>
      <c r="T177" s="45"/>
      <c r="U177" s="45"/>
      <c r="V177" s="45"/>
      <c r="W177" s="45"/>
      <c r="X177" s="45"/>
      <c r="Y177" s="45"/>
      <c r="Z177" s="45"/>
      <c r="AA177" s="45"/>
    </row>
    <row r="178" spans="1:27">
      <c r="A178" s="45"/>
      <c r="B178" s="45"/>
      <c r="C178" s="45"/>
      <c r="D178" s="45"/>
      <c r="E178" s="45"/>
      <c r="F178" s="45"/>
      <c r="G178" s="45"/>
      <c r="H178" s="45"/>
      <c r="I178" s="56"/>
      <c r="J178" s="45"/>
      <c r="K178" s="45"/>
      <c r="L178" s="45"/>
      <c r="M178" s="45"/>
      <c r="N178" s="45"/>
      <c r="O178" s="45"/>
      <c r="P178" s="45"/>
      <c r="Q178" s="45"/>
      <c r="R178" s="45"/>
      <c r="S178" s="45"/>
      <c r="T178" s="45"/>
      <c r="U178" s="45"/>
      <c r="V178" s="45"/>
      <c r="W178" s="45"/>
      <c r="X178" s="45"/>
      <c r="Y178" s="45"/>
      <c r="Z178" s="45"/>
      <c r="AA178" s="45"/>
    </row>
    <row r="179" spans="1:27">
      <c r="A179" s="45"/>
      <c r="B179" s="45"/>
      <c r="C179" s="45"/>
      <c r="D179" s="45"/>
      <c r="E179" s="45"/>
      <c r="F179" s="45"/>
      <c r="G179" s="45"/>
      <c r="H179" s="45"/>
      <c r="I179" s="56"/>
      <c r="J179" s="45"/>
      <c r="K179" s="45"/>
      <c r="L179" s="45"/>
      <c r="M179" s="45"/>
      <c r="N179" s="45"/>
      <c r="O179" s="45"/>
      <c r="P179" s="45"/>
      <c r="Q179" s="45"/>
      <c r="R179" s="45"/>
      <c r="S179" s="45"/>
      <c r="T179" s="45"/>
      <c r="U179" s="45"/>
      <c r="V179" s="45"/>
      <c r="W179" s="45"/>
      <c r="X179" s="45"/>
      <c r="Y179" s="45"/>
      <c r="Z179" s="45"/>
      <c r="AA179" s="45"/>
    </row>
    <row r="180" spans="1:27">
      <c r="A180" s="45"/>
      <c r="B180" s="45"/>
      <c r="C180" s="45"/>
      <c r="D180" s="45"/>
      <c r="E180" s="45"/>
      <c r="F180" s="45"/>
      <c r="G180" s="45"/>
      <c r="H180" s="45"/>
      <c r="I180" s="56"/>
      <c r="J180" s="45"/>
      <c r="K180" s="45"/>
      <c r="L180" s="45"/>
      <c r="M180" s="45"/>
      <c r="N180" s="45"/>
      <c r="O180" s="45"/>
      <c r="P180" s="45"/>
      <c r="Q180" s="45"/>
      <c r="R180" s="45"/>
      <c r="S180" s="45"/>
      <c r="T180" s="45"/>
      <c r="U180" s="45"/>
      <c r="V180" s="45"/>
      <c r="W180" s="45"/>
      <c r="X180" s="45"/>
      <c r="Y180" s="45"/>
      <c r="Z180" s="45"/>
      <c r="AA180" s="45"/>
    </row>
    <row r="181" spans="1:27">
      <c r="A181" s="45"/>
      <c r="B181" s="45"/>
      <c r="C181" s="45"/>
      <c r="D181" s="45"/>
      <c r="E181" s="45"/>
      <c r="F181" s="45"/>
      <c r="G181" s="45"/>
      <c r="H181" s="45"/>
      <c r="I181" s="56"/>
      <c r="J181" s="45"/>
      <c r="K181" s="45"/>
      <c r="L181" s="45"/>
      <c r="M181" s="45"/>
      <c r="N181" s="45"/>
      <c r="O181" s="45"/>
      <c r="P181" s="45"/>
      <c r="Q181" s="45"/>
      <c r="R181" s="45"/>
      <c r="S181" s="45"/>
      <c r="T181" s="45"/>
      <c r="U181" s="45"/>
      <c r="V181" s="45"/>
      <c r="W181" s="45"/>
      <c r="X181" s="45"/>
      <c r="Y181" s="45"/>
      <c r="Z181" s="45"/>
      <c r="AA181" s="45"/>
    </row>
    <row r="182" spans="1:27">
      <c r="A182" s="45"/>
      <c r="B182" s="45"/>
      <c r="C182" s="45"/>
      <c r="D182" s="45"/>
      <c r="E182" s="45"/>
      <c r="F182" s="45"/>
      <c r="G182" s="45"/>
      <c r="H182" s="45"/>
      <c r="I182" s="56"/>
      <c r="J182" s="45"/>
      <c r="K182" s="45"/>
      <c r="L182" s="45"/>
      <c r="M182" s="45"/>
      <c r="N182" s="45"/>
      <c r="O182" s="45"/>
      <c r="P182" s="45"/>
      <c r="Q182" s="45"/>
      <c r="R182" s="45"/>
      <c r="S182" s="45"/>
      <c r="T182" s="45"/>
      <c r="U182" s="45"/>
      <c r="V182" s="45"/>
      <c r="W182" s="45"/>
      <c r="X182" s="45"/>
      <c r="Y182" s="45"/>
      <c r="Z182" s="45"/>
      <c r="AA182" s="45"/>
    </row>
    <row r="183" spans="1:27">
      <c r="A183" s="45"/>
      <c r="B183" s="45"/>
      <c r="C183" s="45"/>
      <c r="D183" s="45"/>
      <c r="E183" s="45"/>
      <c r="F183" s="45"/>
      <c r="G183" s="45"/>
      <c r="H183" s="45"/>
      <c r="I183" s="56"/>
      <c r="J183" s="45"/>
      <c r="K183" s="45"/>
      <c r="L183" s="45"/>
      <c r="M183" s="45"/>
      <c r="N183" s="45"/>
      <c r="O183" s="45"/>
      <c r="P183" s="45"/>
      <c r="Q183" s="45"/>
      <c r="R183" s="45"/>
      <c r="S183" s="45"/>
      <c r="T183" s="45"/>
      <c r="U183" s="45"/>
      <c r="V183" s="45"/>
      <c r="W183" s="45"/>
      <c r="X183" s="45"/>
      <c r="Y183" s="45"/>
      <c r="Z183" s="45"/>
      <c r="AA183" s="45"/>
    </row>
    <row r="184" spans="1:27">
      <c r="A184" s="45"/>
      <c r="B184" s="45"/>
      <c r="C184" s="45"/>
      <c r="D184" s="45"/>
      <c r="E184" s="45"/>
      <c r="F184" s="45"/>
      <c r="G184" s="45"/>
      <c r="H184" s="45"/>
      <c r="I184" s="56"/>
      <c r="J184" s="45"/>
      <c r="K184" s="45"/>
      <c r="L184" s="45"/>
      <c r="M184" s="45"/>
      <c r="N184" s="45"/>
      <c r="O184" s="45"/>
      <c r="P184" s="45"/>
      <c r="Q184" s="45"/>
      <c r="R184" s="45"/>
      <c r="S184" s="45"/>
      <c r="T184" s="45"/>
      <c r="U184" s="45"/>
      <c r="V184" s="45"/>
      <c r="W184" s="45"/>
      <c r="X184" s="45"/>
      <c r="Y184" s="45"/>
      <c r="Z184" s="45"/>
      <c r="AA184" s="45"/>
    </row>
    <row r="185" spans="1:27">
      <c r="A185" s="45"/>
      <c r="B185" s="45"/>
      <c r="C185" s="45"/>
      <c r="D185" s="45"/>
      <c r="E185" s="45"/>
      <c r="F185" s="45"/>
      <c r="G185" s="45"/>
      <c r="H185" s="45"/>
      <c r="I185" s="56"/>
      <c r="J185" s="45"/>
      <c r="K185" s="45"/>
      <c r="L185" s="45"/>
      <c r="M185" s="45"/>
      <c r="N185" s="45"/>
      <c r="O185" s="45"/>
      <c r="P185" s="45"/>
      <c r="Q185" s="45"/>
      <c r="R185" s="45"/>
      <c r="S185" s="45"/>
      <c r="T185" s="45"/>
      <c r="U185" s="45"/>
      <c r="V185" s="45"/>
      <c r="W185" s="45"/>
      <c r="X185" s="45"/>
      <c r="Y185" s="45"/>
      <c r="Z185" s="45"/>
      <c r="AA185" s="45"/>
    </row>
    <row r="186" spans="1:27">
      <c r="A186" s="45"/>
      <c r="B186" s="45"/>
      <c r="C186" s="45"/>
      <c r="D186" s="45"/>
      <c r="E186" s="45"/>
      <c r="F186" s="45"/>
      <c r="G186" s="45"/>
      <c r="H186" s="45"/>
      <c r="I186" s="56"/>
      <c r="J186" s="45"/>
      <c r="K186" s="45"/>
      <c r="L186" s="45"/>
      <c r="M186" s="45"/>
      <c r="N186" s="45"/>
      <c r="O186" s="45"/>
      <c r="P186" s="45"/>
      <c r="Q186" s="45"/>
      <c r="R186" s="45"/>
      <c r="S186" s="45"/>
      <c r="T186" s="45"/>
      <c r="U186" s="45"/>
      <c r="V186" s="45"/>
      <c r="W186" s="45"/>
      <c r="X186" s="45"/>
      <c r="Y186" s="45"/>
      <c r="Z186" s="45"/>
      <c r="AA186" s="45"/>
    </row>
    <row r="187" spans="1:27">
      <c r="A187" s="45"/>
      <c r="B187" s="45"/>
      <c r="C187" s="45"/>
      <c r="D187" s="45"/>
      <c r="E187" s="45"/>
      <c r="F187" s="45"/>
      <c r="G187" s="45"/>
      <c r="H187" s="45"/>
      <c r="I187" s="56"/>
      <c r="J187" s="45"/>
      <c r="K187" s="45"/>
      <c r="L187" s="45"/>
      <c r="M187" s="45"/>
      <c r="N187" s="45"/>
      <c r="O187" s="45"/>
      <c r="P187" s="45"/>
      <c r="Q187" s="45"/>
      <c r="R187" s="45"/>
      <c r="S187" s="45"/>
      <c r="T187" s="45"/>
      <c r="U187" s="45"/>
      <c r="V187" s="45"/>
      <c r="W187" s="45"/>
      <c r="X187" s="45"/>
      <c r="Y187" s="45"/>
      <c r="Z187" s="45"/>
      <c r="AA187" s="45"/>
    </row>
    <row r="188" spans="1:27">
      <c r="A188" s="45"/>
      <c r="B188" s="45"/>
      <c r="C188" s="45"/>
      <c r="D188" s="45"/>
      <c r="E188" s="45"/>
      <c r="F188" s="45"/>
      <c r="G188" s="45"/>
      <c r="H188" s="45"/>
      <c r="I188" s="56"/>
      <c r="J188" s="45"/>
      <c r="K188" s="45"/>
      <c r="L188" s="45"/>
      <c r="M188" s="45"/>
      <c r="N188" s="45"/>
      <c r="O188" s="45"/>
      <c r="P188" s="45"/>
      <c r="Q188" s="45"/>
      <c r="R188" s="45"/>
      <c r="S188" s="45"/>
      <c r="T188" s="45"/>
      <c r="U188" s="45"/>
      <c r="V188" s="45"/>
      <c r="W188" s="45"/>
      <c r="X188" s="45"/>
      <c r="Y188" s="45"/>
      <c r="Z188" s="45"/>
      <c r="AA188" s="45"/>
    </row>
    <row r="189" spans="1:27">
      <c r="A189" s="45"/>
      <c r="B189" s="45"/>
      <c r="C189" s="45"/>
      <c r="D189" s="45"/>
      <c r="E189" s="45"/>
      <c r="F189" s="45"/>
      <c r="G189" s="45"/>
      <c r="H189" s="45"/>
      <c r="I189" s="56"/>
      <c r="J189" s="45"/>
      <c r="K189" s="45"/>
      <c r="L189" s="45"/>
      <c r="M189" s="45"/>
      <c r="N189" s="45"/>
      <c r="O189" s="45"/>
      <c r="P189" s="45"/>
      <c r="Q189" s="45"/>
      <c r="R189" s="45"/>
      <c r="S189" s="45"/>
      <c r="T189" s="45"/>
      <c r="U189" s="45"/>
      <c r="V189" s="45"/>
      <c r="W189" s="45"/>
      <c r="X189" s="45"/>
      <c r="Y189" s="45"/>
      <c r="Z189" s="45"/>
      <c r="AA189" s="45"/>
    </row>
    <row r="190" spans="1:27">
      <c r="A190" s="45"/>
      <c r="B190" s="45"/>
      <c r="C190" s="45"/>
      <c r="D190" s="45"/>
      <c r="E190" s="45"/>
      <c r="F190" s="45"/>
      <c r="G190" s="45"/>
      <c r="H190" s="45"/>
      <c r="I190" s="56"/>
      <c r="J190" s="45"/>
      <c r="K190" s="45"/>
      <c r="L190" s="45"/>
      <c r="M190" s="45"/>
      <c r="N190" s="45"/>
      <c r="O190" s="45"/>
      <c r="P190" s="45"/>
      <c r="Q190" s="45"/>
      <c r="R190" s="45"/>
      <c r="S190" s="45"/>
      <c r="T190" s="45"/>
      <c r="U190" s="45"/>
      <c r="V190" s="45"/>
      <c r="W190" s="45"/>
      <c r="X190" s="45"/>
      <c r="Y190" s="45"/>
      <c r="Z190" s="45"/>
      <c r="AA190" s="45"/>
    </row>
    <row r="191" spans="1:27">
      <c r="A191" s="45"/>
      <c r="B191" s="45"/>
      <c r="C191" s="45"/>
      <c r="D191" s="45"/>
      <c r="E191" s="45"/>
      <c r="F191" s="45"/>
      <c r="G191" s="45"/>
      <c r="H191" s="45"/>
      <c r="I191" s="56"/>
      <c r="J191" s="45"/>
      <c r="K191" s="45"/>
      <c r="L191" s="45"/>
      <c r="M191" s="45"/>
      <c r="N191" s="45"/>
      <c r="O191" s="45"/>
      <c r="P191" s="45"/>
      <c r="Q191" s="45"/>
      <c r="R191" s="45"/>
      <c r="S191" s="45"/>
      <c r="T191" s="45"/>
      <c r="U191" s="45"/>
      <c r="V191" s="45"/>
      <c r="W191" s="45"/>
      <c r="X191" s="45"/>
      <c r="Y191" s="45"/>
      <c r="Z191" s="45"/>
      <c r="AA191" s="45"/>
    </row>
    <row r="192" spans="1:27">
      <c r="A192" s="45"/>
      <c r="B192" s="45"/>
      <c r="C192" s="45"/>
      <c r="D192" s="45"/>
      <c r="E192" s="45"/>
      <c r="F192" s="45"/>
      <c r="G192" s="45"/>
      <c r="H192" s="45"/>
      <c r="I192" s="56"/>
      <c r="J192" s="45"/>
      <c r="K192" s="45"/>
      <c r="L192" s="45"/>
      <c r="M192" s="45"/>
      <c r="N192" s="45"/>
      <c r="O192" s="45"/>
      <c r="P192" s="45"/>
      <c r="Q192" s="45"/>
      <c r="R192" s="45"/>
      <c r="S192" s="45"/>
      <c r="T192" s="45"/>
      <c r="U192" s="45"/>
      <c r="V192" s="45"/>
      <c r="W192" s="45"/>
      <c r="X192" s="45"/>
      <c r="Y192" s="45"/>
      <c r="Z192" s="45"/>
      <c r="AA192" s="45"/>
    </row>
    <row r="193" spans="1:27">
      <c r="A193" s="45"/>
      <c r="B193" s="45"/>
      <c r="C193" s="45"/>
      <c r="D193" s="45"/>
      <c r="E193" s="45"/>
      <c r="F193" s="45"/>
      <c r="G193" s="45"/>
      <c r="H193" s="45"/>
      <c r="I193" s="56"/>
      <c r="J193" s="45"/>
      <c r="K193" s="45"/>
      <c r="L193" s="45"/>
      <c r="M193" s="45"/>
      <c r="N193" s="45"/>
      <c r="O193" s="45"/>
      <c r="P193" s="45"/>
      <c r="Q193" s="45"/>
      <c r="R193" s="45"/>
      <c r="S193" s="45"/>
      <c r="T193" s="45"/>
      <c r="U193" s="45"/>
      <c r="V193" s="45"/>
      <c r="W193" s="45"/>
      <c r="X193" s="45"/>
      <c r="Y193" s="45"/>
      <c r="Z193" s="45"/>
      <c r="AA193" s="45"/>
    </row>
    <row r="194" spans="1:27">
      <c r="A194" s="45"/>
      <c r="B194" s="45"/>
      <c r="C194" s="45"/>
      <c r="D194" s="45"/>
      <c r="E194" s="45"/>
      <c r="F194" s="45"/>
      <c r="G194" s="45"/>
      <c r="H194" s="45"/>
      <c r="I194" s="56"/>
      <c r="J194" s="45"/>
      <c r="K194" s="45"/>
      <c r="L194" s="45"/>
      <c r="M194" s="45"/>
      <c r="N194" s="45"/>
      <c r="O194" s="45"/>
      <c r="P194" s="45"/>
      <c r="Q194" s="45"/>
      <c r="R194" s="45"/>
      <c r="S194" s="45"/>
      <c r="T194" s="45"/>
      <c r="U194" s="45"/>
      <c r="V194" s="45"/>
      <c r="W194" s="45"/>
      <c r="X194" s="45"/>
      <c r="Y194" s="45"/>
      <c r="Z194" s="45"/>
      <c r="AA194" s="45"/>
    </row>
    <row r="195" spans="1:27">
      <c r="A195" s="45"/>
      <c r="B195" s="45"/>
      <c r="C195" s="45"/>
      <c r="D195" s="45"/>
      <c r="E195" s="45"/>
      <c r="F195" s="45"/>
      <c r="G195" s="45"/>
      <c r="H195" s="45"/>
      <c r="I195" s="56"/>
      <c r="J195" s="45"/>
      <c r="K195" s="45"/>
      <c r="L195" s="45"/>
      <c r="M195" s="45"/>
      <c r="N195" s="45"/>
      <c r="O195" s="45"/>
      <c r="P195" s="45"/>
      <c r="Q195" s="45"/>
      <c r="R195" s="45"/>
      <c r="S195" s="45"/>
      <c r="T195" s="45"/>
      <c r="U195" s="45"/>
      <c r="V195" s="45"/>
      <c r="W195" s="45"/>
      <c r="X195" s="45"/>
      <c r="Y195" s="45"/>
      <c r="Z195" s="45"/>
      <c r="AA195" s="45"/>
    </row>
    <row r="196" spans="1:27">
      <c r="A196" s="45"/>
      <c r="B196" s="45"/>
      <c r="C196" s="45"/>
      <c r="D196" s="45"/>
      <c r="E196" s="45"/>
      <c r="F196" s="45"/>
      <c r="G196" s="45"/>
      <c r="H196" s="45"/>
      <c r="I196" s="56"/>
      <c r="J196" s="45"/>
      <c r="K196" s="45"/>
      <c r="L196" s="45"/>
      <c r="M196" s="45"/>
      <c r="N196" s="45"/>
      <c r="O196" s="45"/>
      <c r="P196" s="45"/>
      <c r="Q196" s="45"/>
      <c r="R196" s="45"/>
      <c r="S196" s="45"/>
      <c r="T196" s="45"/>
      <c r="U196" s="45"/>
      <c r="V196" s="45"/>
      <c r="W196" s="45"/>
      <c r="X196" s="45"/>
      <c r="Y196" s="45"/>
      <c r="Z196" s="45"/>
      <c r="AA196" s="45"/>
    </row>
    <row r="197" spans="1:27">
      <c r="A197" s="45"/>
      <c r="B197" s="45"/>
      <c r="C197" s="45"/>
      <c r="D197" s="45"/>
      <c r="E197" s="45"/>
      <c r="F197" s="45"/>
      <c r="G197" s="45"/>
      <c r="H197" s="45"/>
      <c r="I197" s="56"/>
      <c r="J197" s="45"/>
      <c r="K197" s="45"/>
      <c r="L197" s="45"/>
      <c r="M197" s="45"/>
      <c r="N197" s="45"/>
      <c r="O197" s="45"/>
      <c r="P197" s="45"/>
      <c r="Q197" s="45"/>
      <c r="R197" s="45"/>
      <c r="S197" s="45"/>
      <c r="T197" s="45"/>
      <c r="U197" s="45"/>
      <c r="V197" s="45"/>
      <c r="W197" s="45"/>
      <c r="X197" s="45"/>
      <c r="Y197" s="45"/>
      <c r="Z197" s="45"/>
      <c r="AA197" s="45"/>
    </row>
    <row r="198" spans="1:27">
      <c r="A198" s="45"/>
      <c r="B198" s="45"/>
      <c r="C198" s="45"/>
      <c r="D198" s="45"/>
      <c r="E198" s="45"/>
      <c r="F198" s="45"/>
      <c r="G198" s="45"/>
      <c r="H198" s="45"/>
      <c r="I198" s="56"/>
      <c r="J198" s="45"/>
      <c r="K198" s="45"/>
      <c r="L198" s="45"/>
      <c r="M198" s="45"/>
      <c r="N198" s="45"/>
      <c r="O198" s="45"/>
      <c r="P198" s="45"/>
      <c r="Q198" s="45"/>
      <c r="R198" s="45"/>
      <c r="S198" s="45"/>
      <c r="T198" s="45"/>
      <c r="U198" s="45"/>
      <c r="V198" s="45"/>
      <c r="W198" s="45"/>
      <c r="X198" s="45"/>
      <c r="Y198" s="45"/>
      <c r="Z198" s="45"/>
      <c r="AA198" s="45"/>
    </row>
    <row r="199" spans="1:27">
      <c r="A199" s="45"/>
      <c r="B199" s="45"/>
      <c r="C199" s="45"/>
      <c r="D199" s="45"/>
      <c r="E199" s="45"/>
      <c r="F199" s="45"/>
      <c r="G199" s="45"/>
      <c r="H199" s="45"/>
      <c r="I199" s="56"/>
      <c r="J199" s="45"/>
      <c r="K199" s="45"/>
      <c r="L199" s="45"/>
      <c r="M199" s="45"/>
      <c r="N199" s="45"/>
      <c r="O199" s="45"/>
      <c r="P199" s="45"/>
      <c r="Q199" s="45"/>
      <c r="R199" s="45"/>
      <c r="S199" s="45"/>
      <c r="T199" s="45"/>
      <c r="U199" s="45"/>
      <c r="V199" s="45"/>
      <c r="W199" s="45"/>
      <c r="X199" s="45"/>
      <c r="Y199" s="45"/>
      <c r="Z199" s="45"/>
      <c r="AA199" s="45"/>
    </row>
    <row r="200" spans="1:27">
      <c r="A200" s="45"/>
      <c r="B200" s="45"/>
      <c r="C200" s="45"/>
      <c r="D200" s="45"/>
      <c r="E200" s="45"/>
      <c r="F200" s="45"/>
      <c r="G200" s="45"/>
      <c r="H200" s="45"/>
      <c r="I200" s="56"/>
      <c r="J200" s="45"/>
      <c r="K200" s="45"/>
      <c r="L200" s="45"/>
      <c r="M200" s="45"/>
      <c r="N200" s="45"/>
      <c r="O200" s="45"/>
      <c r="P200" s="45"/>
      <c r="Q200" s="45"/>
      <c r="R200" s="45"/>
      <c r="S200" s="45"/>
      <c r="T200" s="45"/>
      <c r="U200" s="45"/>
      <c r="V200" s="45"/>
      <c r="W200" s="45"/>
      <c r="X200" s="45"/>
      <c r="Y200" s="45"/>
      <c r="Z200" s="45"/>
      <c r="AA200" s="45"/>
    </row>
    <row r="201" spans="1:27">
      <c r="A201" s="45"/>
      <c r="B201" s="45"/>
      <c r="C201" s="45"/>
      <c r="D201" s="45"/>
      <c r="E201" s="45"/>
      <c r="F201" s="45"/>
      <c r="G201" s="45"/>
      <c r="H201" s="45"/>
      <c r="I201" s="56"/>
      <c r="J201" s="45"/>
      <c r="K201" s="45"/>
      <c r="L201" s="45"/>
      <c r="M201" s="45"/>
      <c r="N201" s="45"/>
      <c r="O201" s="45"/>
      <c r="P201" s="45"/>
      <c r="Q201" s="45"/>
      <c r="R201" s="45"/>
      <c r="S201" s="45"/>
      <c r="T201" s="45"/>
      <c r="U201" s="45"/>
      <c r="V201" s="45"/>
      <c r="W201" s="45"/>
      <c r="X201" s="45"/>
      <c r="Y201" s="45"/>
      <c r="Z201" s="45"/>
      <c r="AA201" s="45"/>
    </row>
    <row r="202" spans="1:27">
      <c r="A202" s="45"/>
      <c r="B202" s="45"/>
      <c r="C202" s="45"/>
      <c r="D202" s="45"/>
      <c r="E202" s="45"/>
      <c r="F202" s="45"/>
      <c r="G202" s="45"/>
      <c r="H202" s="45"/>
      <c r="I202" s="56"/>
      <c r="J202" s="45"/>
      <c r="K202" s="45"/>
      <c r="L202" s="45"/>
      <c r="M202" s="45"/>
      <c r="N202" s="45"/>
      <c r="O202" s="45"/>
      <c r="P202" s="45"/>
      <c r="Q202" s="45"/>
      <c r="R202" s="45"/>
      <c r="S202" s="45"/>
      <c r="T202" s="45"/>
      <c r="U202" s="45"/>
      <c r="V202" s="45"/>
      <c r="W202" s="45"/>
      <c r="X202" s="45"/>
      <c r="Y202" s="45"/>
      <c r="Z202" s="45"/>
      <c r="AA202" s="45"/>
    </row>
    <row r="203" spans="1:27">
      <c r="A203" s="45"/>
      <c r="B203" s="45"/>
      <c r="C203" s="45"/>
      <c r="D203" s="45"/>
      <c r="E203" s="45"/>
      <c r="F203" s="45"/>
      <c r="G203" s="45"/>
      <c r="H203" s="45"/>
      <c r="I203" s="56"/>
      <c r="J203" s="45"/>
      <c r="K203" s="45"/>
      <c r="L203" s="45"/>
      <c r="M203" s="45"/>
      <c r="N203" s="45"/>
      <c r="O203" s="45"/>
      <c r="P203" s="45"/>
      <c r="Q203" s="45"/>
      <c r="R203" s="45"/>
      <c r="S203" s="45"/>
      <c r="T203" s="45"/>
      <c r="U203" s="45"/>
      <c r="V203" s="45"/>
      <c r="W203" s="45"/>
      <c r="X203" s="45"/>
      <c r="Y203" s="45"/>
      <c r="Z203" s="45"/>
      <c r="AA203" s="45"/>
    </row>
    <row r="204" spans="1:27">
      <c r="A204" s="45"/>
      <c r="B204" s="45"/>
      <c r="C204" s="45"/>
      <c r="D204" s="45"/>
      <c r="E204" s="45"/>
      <c r="F204" s="45"/>
      <c r="G204" s="45"/>
      <c r="H204" s="45"/>
      <c r="I204" s="56"/>
      <c r="J204" s="45"/>
      <c r="K204" s="45"/>
      <c r="L204" s="45"/>
      <c r="M204" s="45"/>
      <c r="N204" s="45"/>
      <c r="O204" s="45"/>
      <c r="P204" s="45"/>
      <c r="Q204" s="45"/>
      <c r="R204" s="45"/>
      <c r="S204" s="45"/>
      <c r="T204" s="45"/>
      <c r="U204" s="45"/>
      <c r="V204" s="45"/>
      <c r="W204" s="45"/>
      <c r="X204" s="45"/>
      <c r="Y204" s="45"/>
      <c r="Z204" s="45"/>
      <c r="AA204" s="45"/>
    </row>
    <row r="205" spans="1:27">
      <c r="A205" s="45"/>
      <c r="B205" s="45"/>
      <c r="C205" s="45"/>
      <c r="D205" s="45"/>
      <c r="E205" s="45"/>
      <c r="F205" s="45"/>
      <c r="G205" s="45"/>
      <c r="H205" s="45"/>
      <c r="I205" s="56"/>
      <c r="J205" s="45"/>
      <c r="K205" s="45"/>
      <c r="L205" s="45"/>
      <c r="M205" s="45"/>
      <c r="N205" s="45"/>
      <c r="O205" s="45"/>
      <c r="P205" s="45"/>
      <c r="Q205" s="45"/>
      <c r="R205" s="45"/>
      <c r="S205" s="45"/>
      <c r="T205" s="45"/>
      <c r="U205" s="45"/>
      <c r="V205" s="45"/>
      <c r="W205" s="45"/>
      <c r="X205" s="45"/>
      <c r="Y205" s="45"/>
      <c r="Z205" s="45"/>
      <c r="AA205" s="45"/>
    </row>
    <row r="206" spans="1:27">
      <c r="A206" s="45"/>
      <c r="B206" s="45"/>
      <c r="C206" s="45"/>
      <c r="D206" s="45"/>
      <c r="E206" s="45"/>
      <c r="F206" s="45"/>
      <c r="G206" s="45"/>
      <c r="H206" s="45"/>
      <c r="I206" s="56"/>
      <c r="J206" s="45"/>
      <c r="K206" s="45"/>
      <c r="L206" s="45"/>
      <c r="M206" s="45"/>
      <c r="N206" s="45"/>
      <c r="O206" s="45"/>
      <c r="P206" s="45"/>
      <c r="Q206" s="45"/>
      <c r="R206" s="45"/>
      <c r="S206" s="45"/>
      <c r="T206" s="45"/>
      <c r="U206" s="45"/>
      <c r="V206" s="45"/>
      <c r="W206" s="45"/>
      <c r="X206" s="45"/>
      <c r="Y206" s="45"/>
      <c r="Z206" s="45"/>
      <c r="AA206" s="45"/>
    </row>
    <row r="207" spans="1:27">
      <c r="A207" s="45"/>
      <c r="B207" s="45"/>
      <c r="C207" s="45"/>
      <c r="D207" s="45"/>
      <c r="E207" s="45"/>
      <c r="F207" s="45"/>
      <c r="G207" s="45"/>
      <c r="H207" s="45"/>
      <c r="I207" s="56"/>
      <c r="J207" s="45"/>
      <c r="K207" s="45"/>
      <c r="L207" s="45"/>
      <c r="M207" s="45"/>
      <c r="N207" s="45"/>
      <c r="O207" s="45"/>
      <c r="P207" s="45"/>
      <c r="Q207" s="45"/>
      <c r="R207" s="45"/>
      <c r="S207" s="45"/>
      <c r="T207" s="45"/>
      <c r="U207" s="45"/>
      <c r="V207" s="45"/>
      <c r="W207" s="45"/>
      <c r="X207" s="45"/>
      <c r="Y207" s="45"/>
      <c r="Z207" s="45"/>
      <c r="AA207" s="45"/>
    </row>
    <row r="208" spans="1:27">
      <c r="A208" s="45"/>
      <c r="B208" s="45"/>
      <c r="C208" s="45"/>
      <c r="D208" s="45"/>
      <c r="E208" s="45"/>
      <c r="F208" s="45"/>
      <c r="G208" s="45"/>
      <c r="H208" s="45"/>
      <c r="I208" s="56"/>
      <c r="J208" s="45"/>
      <c r="K208" s="45"/>
      <c r="L208" s="45"/>
      <c r="M208" s="45"/>
      <c r="N208" s="45"/>
      <c r="O208" s="45"/>
      <c r="P208" s="45"/>
      <c r="Q208" s="45"/>
      <c r="R208" s="45"/>
      <c r="S208" s="45"/>
      <c r="T208" s="45"/>
      <c r="U208" s="45"/>
      <c r="V208" s="45"/>
      <c r="W208" s="45"/>
      <c r="X208" s="45"/>
      <c r="Y208" s="45"/>
      <c r="Z208" s="45"/>
      <c r="AA208" s="45"/>
    </row>
    <row r="209" spans="1:27">
      <c r="A209" s="45"/>
      <c r="B209" s="45"/>
      <c r="C209" s="45"/>
      <c r="D209" s="45"/>
      <c r="E209" s="45"/>
      <c r="F209" s="45"/>
      <c r="G209" s="45"/>
      <c r="H209" s="45"/>
      <c r="I209" s="56"/>
      <c r="J209" s="45"/>
      <c r="K209" s="45"/>
      <c r="L209" s="45"/>
      <c r="M209" s="45"/>
      <c r="N209" s="45"/>
      <c r="O209" s="45"/>
      <c r="P209" s="45"/>
      <c r="Q209" s="45"/>
      <c r="R209" s="45"/>
      <c r="S209" s="45"/>
      <c r="T209" s="45"/>
      <c r="U209" s="45"/>
      <c r="V209" s="45"/>
      <c r="W209" s="45"/>
      <c r="X209" s="45"/>
      <c r="Y209" s="45"/>
      <c r="Z209" s="45"/>
      <c r="AA209" s="45"/>
    </row>
    <row r="210" spans="1:27">
      <c r="A210" s="45"/>
      <c r="B210" s="45"/>
      <c r="C210" s="45"/>
      <c r="D210" s="45"/>
      <c r="E210" s="45"/>
      <c r="F210" s="45"/>
      <c r="G210" s="45"/>
      <c r="H210" s="45"/>
      <c r="I210" s="56"/>
      <c r="J210" s="45"/>
      <c r="K210" s="45"/>
      <c r="L210" s="45"/>
      <c r="M210" s="45"/>
      <c r="N210" s="45"/>
      <c r="O210" s="45"/>
      <c r="P210" s="45"/>
      <c r="Q210" s="45"/>
      <c r="R210" s="45"/>
      <c r="S210" s="45"/>
      <c r="T210" s="45"/>
      <c r="U210" s="45"/>
      <c r="V210" s="45"/>
      <c r="W210" s="45"/>
      <c r="X210" s="45"/>
      <c r="Y210" s="45"/>
      <c r="Z210" s="45"/>
      <c r="AA210" s="45"/>
    </row>
    <row r="211" spans="1:27">
      <c r="A211" s="45"/>
      <c r="B211" s="45"/>
      <c r="C211" s="45"/>
      <c r="D211" s="45"/>
      <c r="E211" s="45"/>
      <c r="F211" s="45"/>
      <c r="G211" s="45"/>
      <c r="H211" s="45"/>
      <c r="I211" s="56"/>
      <c r="J211" s="45"/>
      <c r="K211" s="45"/>
      <c r="L211" s="45"/>
      <c r="M211" s="45"/>
      <c r="N211" s="45"/>
      <c r="O211" s="45"/>
      <c r="P211" s="45"/>
      <c r="Q211" s="45"/>
      <c r="R211" s="45"/>
      <c r="S211" s="45"/>
      <c r="T211" s="45"/>
      <c r="U211" s="45"/>
      <c r="V211" s="45"/>
      <c r="W211" s="45"/>
      <c r="X211" s="45"/>
      <c r="Y211" s="45"/>
      <c r="Z211" s="45"/>
      <c r="AA211" s="45"/>
    </row>
    <row r="212" spans="1:27">
      <c r="A212" s="45"/>
      <c r="B212" s="45"/>
      <c r="C212" s="45"/>
      <c r="D212" s="45"/>
      <c r="E212" s="45"/>
      <c r="F212" s="45"/>
      <c r="G212" s="45"/>
      <c r="H212" s="45"/>
      <c r="I212" s="56"/>
      <c r="J212" s="45"/>
      <c r="K212" s="45"/>
      <c r="L212" s="45"/>
      <c r="M212" s="45"/>
      <c r="N212" s="45"/>
      <c r="O212" s="45"/>
      <c r="P212" s="45"/>
      <c r="Q212" s="45"/>
      <c r="R212" s="45"/>
      <c r="S212" s="45"/>
      <c r="T212" s="45"/>
      <c r="U212" s="45"/>
      <c r="V212" s="45"/>
      <c r="W212" s="45"/>
      <c r="X212" s="45"/>
      <c r="Y212" s="45"/>
      <c r="Z212" s="45"/>
      <c r="AA212" s="45"/>
    </row>
    <row r="213" spans="1:27">
      <c r="A213" s="45"/>
      <c r="B213" s="45"/>
      <c r="C213" s="45"/>
      <c r="D213" s="45"/>
      <c r="E213" s="45"/>
      <c r="F213" s="45"/>
      <c r="G213" s="45"/>
      <c r="H213" s="45"/>
      <c r="I213" s="56"/>
      <c r="J213" s="45"/>
      <c r="K213" s="45"/>
      <c r="L213" s="45"/>
      <c r="M213" s="45"/>
      <c r="N213" s="45"/>
      <c r="O213" s="45"/>
      <c r="P213" s="45"/>
      <c r="Q213" s="45"/>
      <c r="R213" s="45"/>
      <c r="S213" s="45"/>
      <c r="T213" s="45"/>
      <c r="U213" s="45"/>
      <c r="V213" s="45"/>
      <c r="W213" s="45"/>
      <c r="X213" s="45"/>
      <c r="Y213" s="45"/>
      <c r="Z213" s="45"/>
      <c r="AA213" s="45"/>
    </row>
    <row r="214" spans="1:27">
      <c r="A214" s="45"/>
      <c r="B214" s="45"/>
      <c r="C214" s="45"/>
      <c r="D214" s="45"/>
      <c r="E214" s="45"/>
      <c r="F214" s="45"/>
      <c r="G214" s="45"/>
      <c r="H214" s="45"/>
      <c r="I214" s="56"/>
      <c r="J214" s="45"/>
      <c r="K214" s="45"/>
      <c r="L214" s="45"/>
      <c r="M214" s="45"/>
      <c r="N214" s="45"/>
      <c r="O214" s="45"/>
      <c r="P214" s="45"/>
      <c r="Q214" s="45"/>
      <c r="R214" s="45"/>
      <c r="S214" s="45"/>
      <c r="T214" s="45"/>
      <c r="U214" s="45"/>
      <c r="V214" s="45"/>
      <c r="W214" s="45"/>
      <c r="X214" s="45"/>
      <c r="Y214" s="45"/>
      <c r="Z214" s="45"/>
      <c r="AA214" s="45"/>
    </row>
    <row r="215" spans="1:27">
      <c r="A215" s="45"/>
      <c r="B215" s="45"/>
      <c r="C215" s="45"/>
      <c r="D215" s="45"/>
      <c r="E215" s="45"/>
      <c r="F215" s="45"/>
      <c r="G215" s="45"/>
      <c r="H215" s="45"/>
      <c r="I215" s="56"/>
      <c r="J215" s="45"/>
      <c r="K215" s="45"/>
      <c r="L215" s="45"/>
      <c r="M215" s="45"/>
      <c r="N215" s="45"/>
      <c r="O215" s="45"/>
      <c r="P215" s="45"/>
      <c r="Q215" s="45"/>
      <c r="R215" s="45"/>
      <c r="S215" s="45"/>
      <c r="T215" s="45"/>
      <c r="U215" s="45"/>
      <c r="V215" s="45"/>
      <c r="W215" s="45"/>
      <c r="X215" s="45"/>
      <c r="Y215" s="45"/>
      <c r="Z215" s="45"/>
      <c r="AA215" s="45"/>
    </row>
    <row r="216" spans="1:27">
      <c r="A216" s="45"/>
      <c r="B216" s="45"/>
      <c r="C216" s="45"/>
      <c r="D216" s="45"/>
      <c r="E216" s="45"/>
      <c r="F216" s="45"/>
      <c r="G216" s="45"/>
      <c r="H216" s="45"/>
      <c r="I216" s="56"/>
      <c r="J216" s="45"/>
      <c r="K216" s="45"/>
      <c r="L216" s="45"/>
      <c r="M216" s="45"/>
      <c r="N216" s="45"/>
      <c r="O216" s="45"/>
      <c r="P216" s="45"/>
      <c r="Q216" s="45"/>
      <c r="R216" s="45"/>
      <c r="S216" s="45"/>
      <c r="T216" s="45"/>
      <c r="U216" s="45"/>
      <c r="V216" s="45"/>
      <c r="W216" s="45"/>
      <c r="X216" s="45"/>
      <c r="Y216" s="45"/>
      <c r="Z216" s="45"/>
      <c r="AA216" s="45"/>
    </row>
    <row r="217" spans="1:27">
      <c r="A217" s="45"/>
      <c r="B217" s="45"/>
      <c r="C217" s="45"/>
      <c r="D217" s="45"/>
      <c r="E217" s="45"/>
      <c r="F217" s="45"/>
      <c r="G217" s="45"/>
      <c r="H217" s="45"/>
      <c r="I217" s="56"/>
      <c r="J217" s="45"/>
      <c r="K217" s="45"/>
      <c r="L217" s="45"/>
      <c r="M217" s="45"/>
      <c r="N217" s="45"/>
      <c r="O217" s="45"/>
      <c r="P217" s="45"/>
      <c r="Q217" s="45"/>
      <c r="R217" s="45"/>
      <c r="S217" s="45"/>
      <c r="T217" s="45"/>
      <c r="U217" s="45"/>
      <c r="V217" s="45"/>
      <c r="W217" s="45"/>
      <c r="X217" s="45"/>
      <c r="Y217" s="45"/>
      <c r="Z217" s="45"/>
      <c r="AA217" s="45"/>
    </row>
    <row r="218" spans="1:27">
      <c r="A218" s="45"/>
      <c r="B218" s="45"/>
      <c r="C218" s="45"/>
      <c r="D218" s="45"/>
      <c r="E218" s="45"/>
      <c r="F218" s="45"/>
      <c r="G218" s="45"/>
      <c r="H218" s="45"/>
      <c r="I218" s="56"/>
      <c r="J218" s="45"/>
      <c r="K218" s="45"/>
      <c r="L218" s="45"/>
      <c r="M218" s="45"/>
      <c r="N218" s="45"/>
      <c r="O218" s="45"/>
      <c r="P218" s="45"/>
      <c r="Q218" s="45"/>
      <c r="R218" s="45"/>
      <c r="S218" s="45"/>
      <c r="T218" s="45"/>
      <c r="U218" s="45"/>
      <c r="V218" s="45"/>
      <c r="W218" s="45"/>
      <c r="X218" s="45"/>
      <c r="Y218" s="45"/>
      <c r="Z218" s="45"/>
      <c r="AA218" s="45"/>
    </row>
    <row r="219" spans="1:27">
      <c r="A219" s="45"/>
      <c r="B219" s="45"/>
      <c r="C219" s="45"/>
      <c r="D219" s="45"/>
      <c r="E219" s="45"/>
      <c r="F219" s="45"/>
      <c r="G219" s="45"/>
      <c r="H219" s="45"/>
      <c r="I219" s="56"/>
      <c r="J219" s="45"/>
      <c r="K219" s="45"/>
      <c r="L219" s="45"/>
      <c r="M219" s="45"/>
      <c r="N219" s="45"/>
      <c r="O219" s="45"/>
      <c r="P219" s="45"/>
      <c r="Q219" s="45"/>
      <c r="R219" s="45"/>
      <c r="S219" s="45"/>
      <c r="T219" s="45"/>
      <c r="U219" s="45"/>
      <c r="V219" s="45"/>
      <c r="W219" s="45"/>
      <c r="X219" s="45"/>
      <c r="Y219" s="45"/>
      <c r="Z219" s="45"/>
      <c r="AA219" s="45"/>
    </row>
    <row r="220" spans="1:27">
      <c r="A220" s="45"/>
      <c r="B220" s="45"/>
      <c r="C220" s="45"/>
      <c r="D220" s="45"/>
      <c r="E220" s="45"/>
      <c r="F220" s="45"/>
      <c r="G220" s="45"/>
      <c r="H220" s="45"/>
      <c r="I220" s="56"/>
      <c r="J220" s="45"/>
      <c r="K220" s="45"/>
      <c r="L220" s="45"/>
      <c r="M220" s="45"/>
      <c r="N220" s="45"/>
      <c r="O220" s="45"/>
      <c r="P220" s="45"/>
      <c r="Q220" s="45"/>
      <c r="R220" s="45"/>
      <c r="S220" s="45"/>
      <c r="T220" s="45"/>
      <c r="U220" s="45"/>
      <c r="V220" s="45"/>
      <c r="W220" s="45"/>
      <c r="X220" s="45"/>
      <c r="Y220" s="45"/>
      <c r="Z220" s="45"/>
      <c r="AA220" s="45"/>
    </row>
    <row r="221" spans="1:27">
      <c r="A221" s="45"/>
      <c r="B221" s="45"/>
      <c r="C221" s="45"/>
      <c r="D221" s="45"/>
      <c r="E221" s="45"/>
      <c r="F221" s="45"/>
      <c r="G221" s="45"/>
      <c r="H221" s="45"/>
      <c r="I221" s="56"/>
      <c r="J221" s="45"/>
      <c r="K221" s="45"/>
      <c r="L221" s="45"/>
      <c r="M221" s="45"/>
      <c r="N221" s="45"/>
      <c r="O221" s="45"/>
      <c r="P221" s="45"/>
      <c r="Q221" s="45"/>
      <c r="R221" s="45"/>
      <c r="S221" s="45"/>
      <c r="T221" s="45"/>
      <c r="U221" s="45"/>
      <c r="V221" s="45"/>
      <c r="W221" s="45"/>
      <c r="X221" s="45"/>
      <c r="Y221" s="45"/>
      <c r="Z221" s="45"/>
      <c r="AA221" s="45"/>
    </row>
    <row r="222" spans="1:27">
      <c r="A222" s="45"/>
      <c r="B222" s="45"/>
      <c r="C222" s="45"/>
      <c r="D222" s="45"/>
      <c r="E222" s="45"/>
      <c r="F222" s="45"/>
      <c r="G222" s="45"/>
      <c r="H222" s="45"/>
      <c r="I222" s="56"/>
      <c r="J222" s="45"/>
      <c r="K222" s="45"/>
      <c r="L222" s="45"/>
      <c r="M222" s="45"/>
      <c r="N222" s="45"/>
      <c r="O222" s="45"/>
      <c r="P222" s="45"/>
      <c r="Q222" s="45"/>
      <c r="R222" s="45"/>
      <c r="S222" s="45"/>
      <c r="T222" s="45"/>
      <c r="U222" s="45"/>
      <c r="V222" s="45"/>
      <c r="W222" s="45"/>
      <c r="X222" s="45"/>
      <c r="Y222" s="45"/>
      <c r="Z222" s="45"/>
      <c r="AA222" s="45"/>
    </row>
    <row r="223" spans="1:27">
      <c r="A223" s="45"/>
      <c r="B223" s="45"/>
      <c r="C223" s="45"/>
      <c r="D223" s="45"/>
      <c r="E223" s="45"/>
      <c r="F223" s="45"/>
      <c r="G223" s="45"/>
      <c r="H223" s="45"/>
      <c r="I223" s="56"/>
      <c r="J223" s="45"/>
      <c r="K223" s="45"/>
      <c r="L223" s="45"/>
      <c r="M223" s="45"/>
      <c r="N223" s="45"/>
      <c r="O223" s="45"/>
      <c r="P223" s="45"/>
      <c r="Q223" s="45"/>
      <c r="R223" s="45"/>
      <c r="S223" s="45"/>
      <c r="T223" s="45"/>
      <c r="U223" s="45"/>
      <c r="V223" s="45"/>
      <c r="W223" s="45"/>
      <c r="X223" s="45"/>
      <c r="Y223" s="45"/>
      <c r="Z223" s="45"/>
      <c r="AA223" s="45"/>
    </row>
    <row r="224" spans="1:27">
      <c r="A224" s="45"/>
      <c r="B224" s="45"/>
      <c r="C224" s="45"/>
      <c r="D224" s="45"/>
      <c r="E224" s="45"/>
      <c r="F224" s="45"/>
      <c r="G224" s="45"/>
      <c r="H224" s="45"/>
      <c r="I224" s="56"/>
      <c r="J224" s="45"/>
      <c r="K224" s="45"/>
      <c r="L224" s="45"/>
      <c r="M224" s="45"/>
      <c r="N224" s="45"/>
      <c r="O224" s="45"/>
      <c r="P224" s="45"/>
      <c r="Q224" s="45"/>
      <c r="R224" s="45"/>
      <c r="S224" s="45"/>
      <c r="T224" s="45"/>
      <c r="U224" s="45"/>
      <c r="V224" s="45"/>
      <c r="W224" s="45"/>
      <c r="X224" s="45"/>
      <c r="Y224" s="45"/>
      <c r="Z224" s="45"/>
      <c r="AA224" s="45"/>
    </row>
    <row r="225" spans="1:27">
      <c r="A225" s="45"/>
      <c r="B225" s="45"/>
      <c r="C225" s="45"/>
      <c r="D225" s="45"/>
      <c r="E225" s="45"/>
      <c r="F225" s="45"/>
      <c r="G225" s="45"/>
      <c r="H225" s="45"/>
      <c r="I225" s="56"/>
      <c r="J225" s="45"/>
      <c r="K225" s="45"/>
      <c r="L225" s="45"/>
      <c r="M225" s="45"/>
      <c r="N225" s="45"/>
      <c r="O225" s="45"/>
      <c r="P225" s="45"/>
      <c r="Q225" s="45"/>
      <c r="R225" s="45"/>
      <c r="S225" s="45"/>
      <c r="T225" s="45"/>
      <c r="U225" s="45"/>
      <c r="V225" s="45"/>
      <c r="W225" s="45"/>
      <c r="X225" s="45"/>
      <c r="Y225" s="45"/>
      <c r="Z225" s="45"/>
      <c r="AA225" s="45"/>
    </row>
    <row r="226" spans="1:27">
      <c r="A226" s="45"/>
      <c r="B226" s="45"/>
      <c r="C226" s="45"/>
      <c r="D226" s="45"/>
      <c r="E226" s="45"/>
      <c r="F226" s="45"/>
      <c r="G226" s="45"/>
      <c r="H226" s="45"/>
      <c r="I226" s="56"/>
      <c r="J226" s="45"/>
      <c r="K226" s="45"/>
      <c r="L226" s="45"/>
      <c r="M226" s="45"/>
      <c r="N226" s="45"/>
      <c r="O226" s="45"/>
      <c r="P226" s="45"/>
      <c r="Q226" s="45"/>
      <c r="R226" s="45"/>
      <c r="S226" s="45"/>
      <c r="T226" s="45"/>
      <c r="U226" s="45"/>
      <c r="V226" s="45"/>
      <c r="W226" s="45"/>
      <c r="X226" s="45"/>
      <c r="Y226" s="45"/>
      <c r="Z226" s="45"/>
      <c r="AA226" s="45"/>
    </row>
    <row r="227" spans="1:27">
      <c r="A227" s="45"/>
      <c r="B227" s="45"/>
      <c r="C227" s="45"/>
      <c r="D227" s="45"/>
      <c r="E227" s="45"/>
      <c r="F227" s="45"/>
      <c r="G227" s="45"/>
      <c r="H227" s="45"/>
      <c r="I227" s="56"/>
      <c r="J227" s="45"/>
      <c r="K227" s="45"/>
      <c r="L227" s="45"/>
      <c r="M227" s="45"/>
      <c r="N227" s="45"/>
      <c r="O227" s="45"/>
      <c r="P227" s="45"/>
      <c r="Q227" s="45"/>
      <c r="R227" s="45"/>
      <c r="S227" s="45"/>
      <c r="T227" s="45"/>
      <c r="U227" s="45"/>
      <c r="V227" s="45"/>
      <c r="W227" s="45"/>
      <c r="X227" s="45"/>
      <c r="Y227" s="45"/>
      <c r="Z227" s="45"/>
      <c r="AA227" s="45"/>
    </row>
    <row r="228" spans="1:27">
      <c r="A228" s="45"/>
      <c r="B228" s="45"/>
      <c r="C228" s="45"/>
      <c r="D228" s="45"/>
      <c r="E228" s="45"/>
      <c r="F228" s="45"/>
      <c r="G228" s="45"/>
      <c r="H228" s="45"/>
      <c r="I228" s="56"/>
      <c r="J228" s="45"/>
      <c r="K228" s="45"/>
      <c r="L228" s="45"/>
      <c r="M228" s="45"/>
      <c r="N228" s="45"/>
      <c r="O228" s="45"/>
      <c r="P228" s="45"/>
      <c r="Q228" s="45"/>
      <c r="R228" s="45"/>
      <c r="S228" s="45"/>
      <c r="T228" s="45"/>
      <c r="U228" s="45"/>
      <c r="V228" s="45"/>
      <c r="W228" s="45"/>
      <c r="X228" s="45"/>
      <c r="Y228" s="45"/>
      <c r="Z228" s="45"/>
      <c r="AA228" s="45"/>
    </row>
    <row r="229" spans="1:27">
      <c r="A229" s="45"/>
      <c r="B229" s="45"/>
      <c r="C229" s="45"/>
      <c r="D229" s="45"/>
      <c r="E229" s="45"/>
      <c r="F229" s="45"/>
      <c r="G229" s="45"/>
      <c r="H229" s="45"/>
      <c r="I229" s="56"/>
      <c r="J229" s="45"/>
      <c r="K229" s="45"/>
      <c r="L229" s="45"/>
      <c r="M229" s="45"/>
      <c r="N229" s="45"/>
      <c r="O229" s="45"/>
      <c r="P229" s="45"/>
      <c r="Q229" s="45"/>
      <c r="R229" s="45"/>
      <c r="S229" s="45"/>
      <c r="T229" s="45"/>
      <c r="U229" s="45"/>
      <c r="V229" s="45"/>
      <c r="W229" s="45"/>
      <c r="X229" s="45"/>
      <c r="Y229" s="45"/>
      <c r="Z229" s="45"/>
      <c r="AA229" s="45"/>
    </row>
    <row r="230" spans="1:27">
      <c r="A230" s="45"/>
      <c r="B230" s="45"/>
      <c r="C230" s="45"/>
      <c r="D230" s="45"/>
      <c r="E230" s="45"/>
      <c r="F230" s="45"/>
      <c r="G230" s="45"/>
      <c r="H230" s="45"/>
      <c r="I230" s="56"/>
      <c r="J230" s="45"/>
      <c r="K230" s="45"/>
      <c r="L230" s="45"/>
      <c r="M230" s="45"/>
      <c r="N230" s="45"/>
      <c r="O230" s="45"/>
      <c r="P230" s="45"/>
      <c r="Q230" s="45"/>
      <c r="R230" s="45"/>
      <c r="S230" s="45"/>
      <c r="T230" s="45"/>
      <c r="U230" s="45"/>
      <c r="V230" s="45"/>
      <c r="W230" s="45"/>
      <c r="X230" s="45"/>
      <c r="Y230" s="45"/>
      <c r="Z230" s="45"/>
      <c r="AA230" s="45"/>
    </row>
    <row r="231" spans="1:27">
      <c r="A231" s="45"/>
      <c r="B231" s="45"/>
      <c r="C231" s="45"/>
      <c r="D231" s="45"/>
      <c r="E231" s="45"/>
      <c r="F231" s="45"/>
      <c r="G231" s="45"/>
      <c r="H231" s="45"/>
      <c r="I231" s="56"/>
      <c r="J231" s="45"/>
      <c r="K231" s="45"/>
      <c r="L231" s="45"/>
      <c r="M231" s="45"/>
      <c r="N231" s="45"/>
      <c r="O231" s="45"/>
      <c r="P231" s="45"/>
      <c r="Q231" s="45"/>
      <c r="R231" s="45"/>
      <c r="S231" s="45"/>
      <c r="T231" s="45"/>
      <c r="U231" s="45"/>
      <c r="V231" s="45"/>
      <c r="W231" s="45"/>
      <c r="X231" s="45"/>
      <c r="Y231" s="45"/>
      <c r="Z231" s="45"/>
      <c r="AA231" s="45"/>
    </row>
    <row r="232" spans="1:27">
      <c r="A232" s="45"/>
      <c r="B232" s="45"/>
      <c r="C232" s="45"/>
      <c r="D232" s="45"/>
      <c r="E232" s="45"/>
      <c r="F232" s="45"/>
      <c r="G232" s="45"/>
      <c r="H232" s="45"/>
      <c r="I232" s="56"/>
      <c r="J232" s="45"/>
      <c r="K232" s="45"/>
      <c r="L232" s="45"/>
      <c r="M232" s="45"/>
      <c r="N232" s="45"/>
      <c r="O232" s="45"/>
      <c r="P232" s="45"/>
      <c r="Q232" s="45"/>
      <c r="R232" s="45"/>
      <c r="S232" s="45"/>
      <c r="T232" s="45"/>
      <c r="U232" s="45"/>
      <c r="V232" s="45"/>
      <c r="W232" s="45"/>
      <c r="X232" s="45"/>
      <c r="Y232" s="45"/>
      <c r="Z232" s="45"/>
      <c r="AA232" s="45"/>
    </row>
  </sheetData>
  <sheetProtection password="CD86" sheet="1" objects="1" scenarios="1" formatCells="0" formatColumns="0" formatRows="0" insertColumns="0" insertRows="0" insertHyperlinks="0" deleteColumns="0" deleteRows="0" sort="0" autoFilter="0" pivotTables="0"/>
  <mergeCells count="13">
    <mergeCell ref="J7:J8"/>
    <mergeCell ref="C20:C21"/>
    <mergeCell ref="D20:H20"/>
    <mergeCell ref="I20:I21"/>
    <mergeCell ref="A30:C30"/>
    <mergeCell ref="J20:J21"/>
    <mergeCell ref="A20:A21"/>
    <mergeCell ref="B20:B21"/>
    <mergeCell ref="A7:A9"/>
    <mergeCell ref="B7:B9"/>
    <mergeCell ref="C7:C9"/>
    <mergeCell ref="D7:H7"/>
    <mergeCell ref="I7:I8"/>
  </mergeCells>
  <hyperlinks>
    <hyperlink ref="B22" tooltip="C.V.: _x000a_  1.95 %"/>
    <hyperlink ref="I22" tooltip="C.V.: _x000a_  3.14 %" display="Personas "/>
    <hyperlink ref="J10" tooltip="C.V.: _x000a_  5.99 %"/>
    <hyperlink ref="D22" tooltip="C.V.: _x000a_  2.29 %"/>
    <hyperlink ref="E22:H22" tooltip="C.V.: _x000a_  2.29 %"/>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U339"/>
  <sheetViews>
    <sheetView showGridLines="0" zoomScale="90" zoomScaleNormal="90" zoomScalePageLayoutView="90" workbookViewId="0"/>
  </sheetViews>
  <sheetFormatPr baseColWidth="10" defaultRowHeight="14" x14ac:dyDescent="0"/>
  <cols>
    <col min="1" max="1" width="57.6640625" bestFit="1" customWidth="1"/>
    <col min="2" max="2" width="18.83203125" customWidth="1"/>
    <col min="3" max="3" width="18.6640625" customWidth="1"/>
    <col min="4" max="4" width="22.33203125" bestFit="1" customWidth="1"/>
    <col min="5" max="5" width="27.83203125" bestFit="1" customWidth="1"/>
    <col min="6" max="6" width="30.83203125" bestFit="1" customWidth="1"/>
    <col min="7" max="7" width="30.6640625" bestFit="1" customWidth="1"/>
    <col min="8" max="8" width="23.1640625" bestFit="1" customWidth="1"/>
    <col min="9" max="9" width="13.83203125" style="37" bestFit="1" customWidth="1"/>
    <col min="10" max="10" width="13.83203125" bestFit="1" customWidth="1"/>
    <col min="11" max="11" width="17.5" bestFit="1" customWidth="1"/>
    <col min="12" max="17" width="13.83203125" bestFit="1" customWidth="1"/>
    <col min="18" max="41" width="12.33203125" bestFit="1" customWidth="1"/>
    <col min="42" max="43" width="11.5" bestFit="1" customWidth="1"/>
  </cols>
  <sheetData>
    <row r="1" spans="1:16">
      <c r="A1" s="160" t="s">
        <v>21</v>
      </c>
      <c r="B1" s="161"/>
      <c r="C1" s="161"/>
      <c r="D1" s="161"/>
      <c r="E1" s="161"/>
      <c r="F1" s="161"/>
      <c r="G1" s="161"/>
      <c r="H1" s="161"/>
      <c r="I1" s="160"/>
      <c r="J1" s="162"/>
      <c r="K1" s="163"/>
      <c r="L1" s="163"/>
      <c r="M1" s="163"/>
      <c r="N1" s="163"/>
      <c r="O1" s="45"/>
      <c r="P1" s="45"/>
    </row>
    <row r="2" spans="1:16">
      <c r="A2" s="164" t="s">
        <v>65</v>
      </c>
      <c r="B2" s="161"/>
      <c r="C2" s="161"/>
      <c r="D2" s="161"/>
      <c r="E2" s="161"/>
      <c r="F2" s="161"/>
      <c r="G2" s="161"/>
      <c r="H2" s="161"/>
      <c r="I2" s="160"/>
      <c r="J2" s="160"/>
      <c r="K2" s="163"/>
      <c r="L2" s="163"/>
      <c r="M2" s="163"/>
      <c r="N2" s="163"/>
      <c r="O2" s="45"/>
      <c r="P2" s="45"/>
    </row>
    <row r="3" spans="1:16">
      <c r="A3" s="324"/>
      <c r="B3" s="165"/>
      <c r="C3" s="165"/>
      <c r="D3" s="165"/>
      <c r="E3" s="165"/>
      <c r="F3" s="165"/>
      <c r="G3" s="165"/>
      <c r="H3" s="166"/>
      <c r="I3" s="165"/>
      <c r="J3" s="308"/>
      <c r="K3" s="163"/>
      <c r="L3" s="163"/>
      <c r="M3" s="163"/>
      <c r="N3" s="163"/>
      <c r="O3" s="45"/>
      <c r="P3" s="45"/>
    </row>
    <row r="4" spans="1:16">
      <c r="A4" s="169"/>
      <c r="B4" s="165"/>
      <c r="C4" s="165"/>
      <c r="D4" s="165"/>
      <c r="E4" s="165"/>
      <c r="F4" s="165"/>
      <c r="G4" s="165"/>
      <c r="H4" s="165"/>
      <c r="I4" s="165"/>
      <c r="J4" s="170"/>
      <c r="K4" s="168"/>
      <c r="L4" s="168"/>
      <c r="M4" s="163"/>
      <c r="N4" s="163"/>
      <c r="O4" s="45"/>
      <c r="P4" s="45"/>
    </row>
    <row r="5" spans="1:16">
      <c r="A5" s="169"/>
      <c r="B5" s="165"/>
      <c r="C5" s="165"/>
      <c r="D5" s="165"/>
      <c r="E5" s="165"/>
      <c r="F5" s="165"/>
      <c r="G5" s="165"/>
      <c r="H5" s="165"/>
      <c r="I5" s="165"/>
      <c r="J5" s="170"/>
      <c r="K5" s="168"/>
      <c r="L5" s="168"/>
      <c r="M5" s="163"/>
      <c r="N5" s="163"/>
      <c r="O5" s="45"/>
      <c r="P5" s="45"/>
    </row>
    <row r="6" spans="1:16" ht="15" thickBot="1">
      <c r="A6" s="172" t="s">
        <v>185</v>
      </c>
      <c r="B6" s="165"/>
      <c r="C6" s="165"/>
      <c r="D6" s="165"/>
      <c r="E6" s="165">
        <f>2*B10</f>
        <v>134.58000000000001</v>
      </c>
      <c r="F6" s="165">
        <f>3*B10</f>
        <v>201.87</v>
      </c>
      <c r="G6" s="165">
        <f>5*B10</f>
        <v>336.45000000000005</v>
      </c>
      <c r="H6" s="165">
        <f>25*B10</f>
        <v>1682.2500000000002</v>
      </c>
      <c r="I6" s="165"/>
      <c r="J6" s="170"/>
      <c r="K6" s="168"/>
      <c r="L6" s="168"/>
      <c r="M6" s="163"/>
      <c r="N6" s="163"/>
      <c r="O6" s="45"/>
      <c r="P6" s="45"/>
    </row>
    <row r="7" spans="1:16" ht="14.5" customHeight="1">
      <c r="A7" s="766" t="s">
        <v>92</v>
      </c>
      <c r="B7" s="752" t="s">
        <v>162</v>
      </c>
      <c r="C7" s="752" t="s">
        <v>84</v>
      </c>
      <c r="D7" s="749" t="s">
        <v>5</v>
      </c>
      <c r="E7" s="750"/>
      <c r="F7" s="750"/>
      <c r="G7" s="750"/>
      <c r="H7" s="751"/>
      <c r="I7" s="752" t="s">
        <v>84</v>
      </c>
      <c r="J7" s="755"/>
      <c r="K7" s="163"/>
      <c r="L7" s="168"/>
      <c r="M7" s="163"/>
      <c r="N7" s="163"/>
      <c r="O7" s="45"/>
      <c r="P7" s="45"/>
    </row>
    <row r="8" spans="1:16" ht="29" thickBot="1">
      <c r="A8" s="767"/>
      <c r="B8" s="758"/>
      <c r="C8" s="758"/>
      <c r="D8" s="173" t="s">
        <v>6</v>
      </c>
      <c r="E8" s="174" t="s">
        <v>7</v>
      </c>
      <c r="F8" s="174" t="s">
        <v>8</v>
      </c>
      <c r="G8" s="174" t="s">
        <v>9</v>
      </c>
      <c r="H8" s="174" t="s">
        <v>258</v>
      </c>
      <c r="I8" s="753" t="s">
        <v>84</v>
      </c>
      <c r="J8" s="756" t="s">
        <v>12</v>
      </c>
      <c r="K8" s="163"/>
      <c r="L8" s="168"/>
      <c r="M8" s="163"/>
      <c r="N8" s="163"/>
      <c r="O8" s="45"/>
      <c r="P8" s="45"/>
    </row>
    <row r="9" spans="1:16" ht="15" thickBot="1">
      <c r="A9" s="767"/>
      <c r="B9" s="758"/>
      <c r="C9" s="758"/>
      <c r="D9" s="175">
        <f>B10</f>
        <v>67.290000000000006</v>
      </c>
      <c r="E9" s="176" t="s">
        <v>340</v>
      </c>
      <c r="F9" s="176" t="s">
        <v>341</v>
      </c>
      <c r="G9" s="176" t="s">
        <v>342</v>
      </c>
      <c r="H9" s="176" t="s">
        <v>343</v>
      </c>
      <c r="I9" s="177" t="s">
        <v>85</v>
      </c>
      <c r="J9" s="178"/>
      <c r="K9" s="163"/>
      <c r="L9" s="168"/>
      <c r="M9" s="163"/>
      <c r="N9" s="163"/>
      <c r="O9" s="45"/>
      <c r="P9" s="45"/>
    </row>
    <row r="10" spans="1:16">
      <c r="A10" s="180" t="s">
        <v>22</v>
      </c>
      <c r="B10" s="181">
        <v>67.290000000000006</v>
      </c>
      <c r="C10" s="182" t="s">
        <v>85</v>
      </c>
      <c r="D10" s="183">
        <v>1</v>
      </c>
      <c r="E10" s="184">
        <v>2</v>
      </c>
      <c r="F10" s="184">
        <v>3</v>
      </c>
      <c r="G10" s="184">
        <v>5</v>
      </c>
      <c r="H10" s="184">
        <v>25</v>
      </c>
      <c r="I10" s="185" t="s">
        <v>86</v>
      </c>
      <c r="J10" s="186">
        <f>H10*67*30</f>
        <v>50250</v>
      </c>
      <c r="K10" s="163"/>
      <c r="L10" s="168"/>
      <c r="M10" s="163"/>
      <c r="N10" s="163"/>
      <c r="O10" s="45"/>
      <c r="P10" s="45"/>
    </row>
    <row r="11" spans="1:16">
      <c r="A11" s="188" t="s">
        <v>168</v>
      </c>
      <c r="B11" s="189"/>
      <c r="C11" s="190"/>
      <c r="D11" s="325">
        <f>D10*$B$10</f>
        <v>67.290000000000006</v>
      </c>
      <c r="E11" s="193">
        <f>E10*$B$10</f>
        <v>134.58000000000001</v>
      </c>
      <c r="F11" s="193">
        <f>F10*$B$10</f>
        <v>201.87</v>
      </c>
      <c r="G11" s="193">
        <f>G10*$B$10</f>
        <v>336.45000000000005</v>
      </c>
      <c r="H11" s="193">
        <f>H10*$B$10</f>
        <v>1682.2500000000002</v>
      </c>
      <c r="I11" s="48" t="s">
        <v>95</v>
      </c>
      <c r="J11" s="165"/>
      <c r="K11" s="163"/>
      <c r="L11" s="168"/>
      <c r="M11" s="163"/>
      <c r="N11" s="163"/>
      <c r="O11" s="45"/>
      <c r="P11" s="45"/>
    </row>
    <row r="12" spans="1:16">
      <c r="A12" s="194" t="s">
        <v>29</v>
      </c>
      <c r="B12" s="195">
        <v>0.02</v>
      </c>
      <c r="C12" s="190"/>
      <c r="D12" s="196"/>
      <c r="E12" s="196"/>
      <c r="F12" s="196"/>
      <c r="G12" s="196"/>
      <c r="H12" s="196"/>
      <c r="I12" s="197"/>
      <c r="J12" s="198">
        <f>H13*30</f>
        <v>12742.972032428188</v>
      </c>
      <c r="K12" s="163" t="s">
        <v>148</v>
      </c>
      <c r="L12" s="168"/>
      <c r="M12" s="163"/>
      <c r="N12" s="163"/>
      <c r="O12" s="45"/>
      <c r="P12" s="45"/>
    </row>
    <row r="13" spans="1:16">
      <c r="A13" s="188" t="s">
        <v>165</v>
      </c>
      <c r="B13" s="311"/>
      <c r="C13" s="190"/>
      <c r="D13" s="325">
        <f>B10</f>
        <v>67.290000000000006</v>
      </c>
      <c r="E13" s="193">
        <f>B65</f>
        <v>71.705786720713647</v>
      </c>
      <c r="F13" s="193">
        <f>B87</f>
        <v>138.99578672071362</v>
      </c>
      <c r="G13" s="193">
        <f>B109</f>
        <v>210.70157344142746</v>
      </c>
      <c r="H13" s="193">
        <f>B132</f>
        <v>424.76573441427291</v>
      </c>
      <c r="I13" s="48" t="s">
        <v>95</v>
      </c>
      <c r="J13" s="200">
        <f>5*67*30</f>
        <v>10050</v>
      </c>
      <c r="K13" s="163"/>
      <c r="L13" s="168"/>
      <c r="M13" s="163"/>
      <c r="N13" s="163"/>
      <c r="O13" s="45"/>
      <c r="P13" s="45"/>
    </row>
    <row r="14" spans="1:16">
      <c r="A14" s="201" t="s">
        <v>166</v>
      </c>
      <c r="B14" s="202">
        <f>'Principal T'!J5</f>
        <v>85</v>
      </c>
      <c r="C14" s="203" t="s">
        <v>85</v>
      </c>
      <c r="D14" s="205"/>
      <c r="E14" s="205"/>
      <c r="F14" s="205"/>
      <c r="G14" s="205"/>
      <c r="H14" s="205"/>
      <c r="I14" s="206"/>
      <c r="J14" s="200"/>
      <c r="K14" s="163"/>
      <c r="L14" s="168"/>
      <c r="M14" s="163"/>
      <c r="N14" s="163"/>
      <c r="O14" s="45"/>
      <c r="P14" s="45"/>
    </row>
    <row r="15" spans="1:16">
      <c r="A15" s="207" t="s">
        <v>169</v>
      </c>
      <c r="B15" s="208">
        <f>(B14/B10)-1</f>
        <v>0.2631891811561895</v>
      </c>
      <c r="C15" s="203"/>
      <c r="D15" s="205"/>
      <c r="E15" s="205"/>
      <c r="F15" s="205"/>
      <c r="G15" s="205"/>
      <c r="H15" s="205"/>
      <c r="I15" s="206"/>
      <c r="J15" s="200"/>
      <c r="K15" s="163"/>
      <c r="L15" s="168"/>
      <c r="M15" s="163"/>
      <c r="N15" s="163"/>
      <c r="O15" s="45"/>
      <c r="P15" s="45"/>
    </row>
    <row r="16" spans="1:16">
      <c r="A16" s="207" t="s">
        <v>170</v>
      </c>
      <c r="B16" s="202"/>
      <c r="C16" s="203"/>
      <c r="D16" s="326">
        <f>B14</f>
        <v>85</v>
      </c>
      <c r="E16" s="212">
        <f>IF(E11&gt;B14,E11,B14)</f>
        <v>134.58000000000001</v>
      </c>
      <c r="F16" s="212">
        <f>IF(F11&gt;B14,F11,B14)</f>
        <v>201.87</v>
      </c>
      <c r="G16" s="212">
        <f>IF(G11&gt;B14,G11,B14)</f>
        <v>336.45000000000005</v>
      </c>
      <c r="H16" s="212">
        <f>IF(H11&gt;B14,H11,B14)</f>
        <v>1682.2500000000002</v>
      </c>
      <c r="I16" s="206" t="s">
        <v>95</v>
      </c>
      <c r="J16" s="200"/>
      <c r="K16" s="163"/>
      <c r="L16" s="168"/>
      <c r="M16" s="163"/>
      <c r="N16" s="163"/>
      <c r="O16" s="45"/>
      <c r="P16" s="45"/>
    </row>
    <row r="17" spans="1:16" ht="15" thickBot="1">
      <c r="A17" s="213" t="s">
        <v>167</v>
      </c>
      <c r="B17" s="214">
        <f>(B27*1000000)/B22</f>
        <v>146.72210903125014</v>
      </c>
      <c r="C17" s="215"/>
      <c r="D17" s="327">
        <f>D16</f>
        <v>85</v>
      </c>
      <c r="E17" s="218">
        <f>B68</f>
        <v>85.514167311335186</v>
      </c>
      <c r="F17" s="218">
        <f>B90</f>
        <v>138.99578672071362</v>
      </c>
      <c r="G17" s="218">
        <f>B112</f>
        <v>210.70157344142746</v>
      </c>
      <c r="H17" s="218">
        <f>B135</f>
        <v>424.76573441427291</v>
      </c>
      <c r="I17" s="219" t="s">
        <v>95</v>
      </c>
      <c r="J17" s="200"/>
      <c r="K17" s="163"/>
      <c r="L17" s="168"/>
      <c r="M17" s="163"/>
      <c r="N17" s="163"/>
      <c r="O17" s="45"/>
      <c r="P17" s="45"/>
    </row>
    <row r="18" spans="1:16">
      <c r="A18" s="328"/>
      <c r="B18" s="329"/>
      <c r="C18" s="330"/>
      <c r="D18" s="316"/>
      <c r="E18" s="316"/>
      <c r="F18" s="316"/>
      <c r="G18" s="316"/>
      <c r="H18" s="316"/>
      <c r="I18" s="316"/>
      <c r="J18" s="316"/>
      <c r="K18" s="163"/>
      <c r="L18" s="168"/>
      <c r="M18" s="163"/>
      <c r="N18" s="163"/>
      <c r="O18" s="45"/>
      <c r="P18" s="45"/>
    </row>
    <row r="19" spans="1:16" ht="15" thickBot="1">
      <c r="A19" s="172" t="s">
        <v>184</v>
      </c>
      <c r="B19" s="329"/>
      <c r="C19" s="330"/>
      <c r="D19" s="316"/>
      <c r="E19" s="316"/>
      <c r="F19" s="316"/>
      <c r="G19" s="316"/>
      <c r="H19" s="316"/>
      <c r="I19" s="316"/>
      <c r="J19" s="316"/>
      <c r="K19" s="163"/>
      <c r="L19" s="168"/>
      <c r="M19" s="163"/>
      <c r="N19" s="163"/>
      <c r="O19" s="45"/>
      <c r="P19" s="45"/>
    </row>
    <row r="20" spans="1:16">
      <c r="A20" s="759" t="s">
        <v>161</v>
      </c>
      <c r="B20" s="752" t="s">
        <v>162</v>
      </c>
      <c r="C20" s="752" t="s">
        <v>84</v>
      </c>
      <c r="D20" s="749" t="s">
        <v>5</v>
      </c>
      <c r="E20" s="750"/>
      <c r="F20" s="750"/>
      <c r="G20" s="750"/>
      <c r="H20" s="750"/>
      <c r="I20" s="752" t="s">
        <v>84</v>
      </c>
      <c r="J20" s="47"/>
      <c r="K20" s="168"/>
      <c r="L20" s="168"/>
      <c r="M20" s="163"/>
      <c r="N20" s="163"/>
      <c r="O20" s="45"/>
      <c r="P20" s="45"/>
    </row>
    <row r="21" spans="1:16" ht="29" thickBot="1">
      <c r="A21" s="760"/>
      <c r="B21" s="753"/>
      <c r="C21" s="753"/>
      <c r="D21" s="173" t="s">
        <v>6</v>
      </c>
      <c r="E21" s="174" t="s">
        <v>7</v>
      </c>
      <c r="F21" s="174" t="s">
        <v>8</v>
      </c>
      <c r="G21" s="174" t="s">
        <v>9</v>
      </c>
      <c r="H21" s="174" t="s">
        <v>258</v>
      </c>
      <c r="I21" s="753"/>
      <c r="J21" s="47"/>
      <c r="K21" s="168"/>
      <c r="L21" s="168"/>
      <c r="M21" s="163"/>
      <c r="N21" s="163"/>
      <c r="O21" s="45"/>
      <c r="P21" s="45"/>
    </row>
    <row r="22" spans="1:16">
      <c r="A22" s="229" t="s">
        <v>171</v>
      </c>
      <c r="B22" s="230">
        <f>SUM(D22:H22)</f>
        <v>7623731.0000000009</v>
      </c>
      <c r="C22" s="185" t="s">
        <v>86</v>
      </c>
      <c r="D22" s="231">
        <f>'[1]Ind.Manufacturera H'!D22+'[1]Ind.Manufacturera M'!D22</f>
        <v>844538.09641057602</v>
      </c>
      <c r="E22" s="232">
        <f>'[1]Ind.Manufacturera H'!E22+'[1]Ind.Manufacturera M'!E22</f>
        <v>2424564.8598590074</v>
      </c>
      <c r="F22" s="232">
        <f>'[1]Ind.Manufacturera H'!F22+'[1]Ind.Manufacturera M'!F22</f>
        <v>2614718.3900527754</v>
      </c>
      <c r="G22" s="232">
        <f>'[1]Ind.Manufacturera H'!G22+'[1]Ind.Manufacturera M'!G22</f>
        <v>1228787.353348145</v>
      </c>
      <c r="H22" s="232">
        <f>'[1]Ind.Manufacturera H'!H22+'[1]Ind.Manufacturera M'!H22</f>
        <v>511122.30032949621</v>
      </c>
      <c r="I22" s="185" t="s">
        <v>86</v>
      </c>
      <c r="J22" s="316"/>
      <c r="K22" s="168"/>
      <c r="L22" s="168"/>
      <c r="M22" s="163"/>
      <c r="N22" s="163"/>
      <c r="O22" s="45"/>
      <c r="P22" s="45"/>
    </row>
    <row r="23" spans="1:16">
      <c r="A23" s="194" t="s">
        <v>345</v>
      </c>
      <c r="B23" s="233">
        <f>SUM(D23:H23)/1000000</f>
        <v>1070.1338069679105</v>
      </c>
      <c r="C23" s="48" t="s">
        <v>87</v>
      </c>
      <c r="D23" s="231">
        <f>D22*B10</f>
        <v>56828968.507467665</v>
      </c>
      <c r="E23" s="232">
        <f>G62</f>
        <v>173855330.73158696</v>
      </c>
      <c r="F23" s="232">
        <f>G84</f>
        <v>363434839.67850327</v>
      </c>
      <c r="G23" s="232">
        <f>G106</f>
        <v>258907428.77538145</v>
      </c>
      <c r="H23" s="232">
        <f>G129</f>
        <v>217107239.27497104</v>
      </c>
      <c r="I23" s="234" t="s">
        <v>246</v>
      </c>
      <c r="J23" s="250"/>
      <c r="K23" s="168"/>
      <c r="L23" s="168"/>
      <c r="M23" s="163"/>
      <c r="N23" s="163"/>
      <c r="O23" s="45"/>
      <c r="P23" s="45"/>
    </row>
    <row r="24" spans="1:16">
      <c r="A24" s="194" t="s">
        <v>23</v>
      </c>
      <c r="B24" s="235"/>
      <c r="C24" s="48"/>
      <c r="D24" s="231"/>
      <c r="E24" s="232"/>
      <c r="F24" s="232"/>
      <c r="G24" s="232"/>
      <c r="H24" s="232"/>
      <c r="I24" s="236"/>
      <c r="J24" s="250"/>
      <c r="K24" s="168"/>
      <c r="L24" s="168"/>
      <c r="M24" s="163"/>
      <c r="N24" s="163"/>
      <c r="O24" s="45"/>
      <c r="P24" s="45"/>
    </row>
    <row r="25" spans="1:16">
      <c r="A25" s="237" t="s">
        <v>24</v>
      </c>
      <c r="B25" s="238">
        <f>SUM(D25:H25)</f>
        <v>3211418.0509820897</v>
      </c>
      <c r="C25" s="48" t="s">
        <v>86</v>
      </c>
      <c r="D25" s="231">
        <f>D22</f>
        <v>844538.09641057602</v>
      </c>
      <c r="E25" s="232">
        <f>L62</f>
        <v>2366879.9545715135</v>
      </c>
      <c r="F25" s="232">
        <f>L84</f>
        <v>0</v>
      </c>
      <c r="G25" s="232">
        <f>L106</f>
        <v>0</v>
      </c>
      <c r="H25" s="232">
        <f>L129</f>
        <v>0</v>
      </c>
      <c r="I25" s="48" t="s">
        <v>86</v>
      </c>
      <c r="J25" s="250"/>
      <c r="K25" s="168"/>
      <c r="L25" s="168"/>
      <c r="M25" s="163"/>
      <c r="N25" s="163"/>
      <c r="O25" s="45"/>
      <c r="P25" s="45"/>
    </row>
    <row r="26" spans="1:16">
      <c r="A26" s="237" t="s">
        <v>25</v>
      </c>
      <c r="B26" s="238">
        <f>SUM(D26:H26)</f>
        <v>4412312.9490179103</v>
      </c>
      <c r="C26" s="48" t="s">
        <v>86</v>
      </c>
      <c r="D26" s="231"/>
      <c r="E26" s="232">
        <f>E22-E25</f>
        <v>57684.905287493952</v>
      </c>
      <c r="F26" s="232">
        <f>F22-F25</f>
        <v>2614718.3900527754</v>
      </c>
      <c r="G26" s="232">
        <f>G22</f>
        <v>1228787.353348145</v>
      </c>
      <c r="H26" s="232">
        <f>H22</f>
        <v>511122.30032949621</v>
      </c>
      <c r="I26" s="48" t="s">
        <v>86</v>
      </c>
      <c r="J26" s="250"/>
      <c r="K26" s="168"/>
      <c r="L26" s="168"/>
      <c r="M26" s="163"/>
      <c r="N26" s="163"/>
      <c r="O26" s="45"/>
      <c r="P26" s="45"/>
    </row>
    <row r="27" spans="1:16" ht="15" thickBot="1">
      <c r="A27" s="239" t="s">
        <v>346</v>
      </c>
      <c r="B27" s="240">
        <f>SUM(D27:H27)/1000000</f>
        <v>1118.5698910069218</v>
      </c>
      <c r="C27" s="50" t="s">
        <v>87</v>
      </c>
      <c r="D27" s="241">
        <f>D25*D17</f>
        <v>71785738.194898963</v>
      </c>
      <c r="E27" s="242">
        <f>K62</f>
        <v>207334645.08316711</v>
      </c>
      <c r="F27" s="242">
        <f>K84</f>
        <v>363434839.67850327</v>
      </c>
      <c r="G27" s="242">
        <f>K106</f>
        <v>258907428.77538145</v>
      </c>
      <c r="H27" s="242">
        <f>K129</f>
        <v>217107239.27497104</v>
      </c>
      <c r="I27" s="243" t="s">
        <v>90</v>
      </c>
      <c r="J27" s="250"/>
      <c r="K27" s="168"/>
      <c r="L27" s="168"/>
      <c r="M27" s="163"/>
      <c r="N27" s="163"/>
      <c r="O27" s="45"/>
      <c r="P27" s="45"/>
    </row>
    <row r="28" spans="1:16" ht="15" thickBot="1">
      <c r="A28" s="244" t="s">
        <v>245</v>
      </c>
      <c r="B28" s="245">
        <f>((D23*D28)+(E23*E28)+(F23*F28)+(G23*G28)+(H23*H28))/(B23*1000000)</f>
        <v>0.14181903107271249</v>
      </c>
      <c r="C28" s="51"/>
      <c r="D28" s="246">
        <v>6.4000000000000001E-2</v>
      </c>
      <c r="E28" s="246">
        <v>6.4000000000000001E-2</v>
      </c>
      <c r="F28" s="247">
        <v>0.10879999999999999</v>
      </c>
      <c r="G28" s="247">
        <v>0.1792</v>
      </c>
      <c r="H28" s="246">
        <v>0.23519999999999999</v>
      </c>
      <c r="I28" s="250"/>
      <c r="J28" s="250"/>
      <c r="K28" s="168"/>
      <c r="L28" s="168"/>
      <c r="M28" s="163"/>
      <c r="N28" s="163"/>
      <c r="O28" s="45"/>
      <c r="P28" s="45"/>
    </row>
    <row r="29" spans="1:16" ht="15" thickBot="1">
      <c r="A29" s="172" t="s">
        <v>183</v>
      </c>
      <c r="B29" s="317"/>
      <c r="C29" s="51"/>
      <c r="D29" s="250"/>
      <c r="E29" s="250"/>
      <c r="F29" s="250"/>
      <c r="G29" s="250"/>
      <c r="H29" s="250"/>
      <c r="I29" s="250"/>
      <c r="J29" s="250"/>
      <c r="K29" s="168"/>
      <c r="L29" s="168"/>
      <c r="M29" s="163"/>
      <c r="N29" s="163"/>
      <c r="O29" s="45"/>
      <c r="P29" s="45"/>
    </row>
    <row r="30" spans="1:16">
      <c r="A30" s="743" t="s">
        <v>91</v>
      </c>
      <c r="B30" s="744"/>
      <c r="C30" s="745"/>
      <c r="D30" s="250"/>
      <c r="E30" s="250"/>
      <c r="F30" s="250"/>
      <c r="G30" s="250"/>
      <c r="H30" s="250"/>
      <c r="I30" s="250"/>
      <c r="J30" s="250"/>
      <c r="K30" s="168"/>
      <c r="L30" s="168"/>
      <c r="M30" s="163"/>
      <c r="N30" s="163"/>
      <c r="O30" s="45"/>
      <c r="P30" s="45"/>
    </row>
    <row r="31" spans="1:16" ht="15" thickBot="1">
      <c r="A31" s="252" t="s">
        <v>92</v>
      </c>
      <c r="B31" s="253" t="s">
        <v>93</v>
      </c>
      <c r="C31" s="254" t="s">
        <v>94</v>
      </c>
      <c r="D31" s="250"/>
      <c r="E31" s="250"/>
      <c r="F31" s="250"/>
      <c r="G31" s="250"/>
      <c r="H31" s="250"/>
      <c r="I31" s="250"/>
      <c r="J31" s="250"/>
      <c r="K31" s="168"/>
      <c r="L31" s="168"/>
      <c r="M31" s="163"/>
      <c r="N31" s="163"/>
      <c r="O31" s="45"/>
      <c r="P31" s="45"/>
    </row>
    <row r="32" spans="1:16">
      <c r="A32" s="229" t="s">
        <v>252</v>
      </c>
      <c r="B32" s="256">
        <f>B27-B23</f>
        <v>48.436084039011348</v>
      </c>
      <c r="C32" s="158" t="s">
        <v>87</v>
      </c>
      <c r="D32" s="250"/>
      <c r="E32" s="331"/>
      <c r="F32" s="250"/>
      <c r="G32" s="250"/>
      <c r="H32" s="250"/>
      <c r="I32" s="250"/>
      <c r="J32" s="250"/>
      <c r="K32" s="168"/>
      <c r="L32" s="168"/>
      <c r="M32" s="163"/>
      <c r="N32" s="163"/>
      <c r="O32" s="45"/>
      <c r="P32" s="45"/>
    </row>
    <row r="33" spans="1:21">
      <c r="A33" s="257" t="s">
        <v>251</v>
      </c>
      <c r="B33" s="321">
        <f>B32*360</f>
        <v>17436.990254044085</v>
      </c>
      <c r="C33" s="52" t="s">
        <v>87</v>
      </c>
      <c r="D33" s="250"/>
      <c r="E33" s="331"/>
      <c r="F33" s="250"/>
      <c r="G33" s="250"/>
      <c r="H33" s="250"/>
      <c r="I33" s="250"/>
      <c r="J33" s="250"/>
      <c r="K33" s="168"/>
      <c r="L33" s="168"/>
      <c r="M33" s="163"/>
      <c r="N33" s="163"/>
      <c r="O33" s="45"/>
      <c r="P33" s="45"/>
    </row>
    <row r="34" spans="1:21">
      <c r="A34" s="257" t="s">
        <v>253</v>
      </c>
      <c r="B34" s="258">
        <f>B33*(1+B28)</f>
        <v>19909.88731669695</v>
      </c>
      <c r="C34" s="52"/>
      <c r="D34" s="250"/>
      <c r="E34" s="331"/>
      <c r="F34" s="250"/>
      <c r="G34" s="250"/>
      <c r="H34" s="250"/>
      <c r="I34" s="250"/>
      <c r="J34" s="250"/>
      <c r="K34" s="168"/>
      <c r="L34" s="168"/>
      <c r="M34" s="163"/>
      <c r="N34" s="163"/>
      <c r="O34" s="45"/>
      <c r="P34" s="45"/>
    </row>
    <row r="35" spans="1:21">
      <c r="A35" s="194" t="s">
        <v>247</v>
      </c>
      <c r="B35" s="262">
        <f>'Efecto piramidado '!D11</f>
        <v>2.9020499026646274E-3</v>
      </c>
      <c r="C35" s="52"/>
      <c r="D35" s="250"/>
      <c r="E35" s="331"/>
      <c r="F35" s="250"/>
      <c r="G35" s="250"/>
      <c r="H35" s="250"/>
      <c r="I35" s="250"/>
      <c r="J35" s="250"/>
      <c r="K35" s="168"/>
      <c r="L35" s="168"/>
      <c r="M35" s="163"/>
      <c r="N35" s="163"/>
      <c r="O35" s="45"/>
      <c r="P35" s="45"/>
    </row>
    <row r="36" spans="1:21">
      <c r="A36" s="194" t="s">
        <v>248</v>
      </c>
      <c r="B36" s="262">
        <f>'Efecto piramidado '!D12</f>
        <v>1.295489568716833E-2</v>
      </c>
      <c r="C36" s="52"/>
      <c r="D36" s="250"/>
      <c r="E36" s="331"/>
      <c r="F36" s="250"/>
      <c r="G36" s="250"/>
      <c r="H36" s="250"/>
      <c r="I36" s="250"/>
      <c r="J36" s="250"/>
      <c r="K36" s="168"/>
      <c r="L36" s="168"/>
      <c r="M36" s="163"/>
      <c r="N36" s="163"/>
      <c r="O36" s="45"/>
      <c r="P36" s="45"/>
    </row>
    <row r="37" spans="1:21">
      <c r="A37" s="194" t="s">
        <v>249</v>
      </c>
      <c r="B37" s="262">
        <f>(B34*1000000)/B38</f>
        <v>4.4649226123897247E-2</v>
      </c>
      <c r="C37" s="52"/>
      <c r="D37" s="250"/>
      <c r="E37" s="250"/>
      <c r="F37" s="250"/>
      <c r="G37" s="250"/>
      <c r="H37" s="250"/>
      <c r="I37" s="250"/>
      <c r="J37" s="250"/>
      <c r="K37" s="168"/>
      <c r="L37" s="168"/>
      <c r="M37" s="163"/>
      <c r="N37" s="163"/>
      <c r="O37" s="45"/>
      <c r="P37" s="45"/>
    </row>
    <row r="38" spans="1:21">
      <c r="A38" s="194" t="s">
        <v>149</v>
      </c>
      <c r="B38" s="266">
        <f>'Valores en precios 2014'!D45*1000000</f>
        <v>445917858944.4967</v>
      </c>
      <c r="C38" s="52" t="s">
        <v>85</v>
      </c>
      <c r="D38" s="250"/>
      <c r="E38" s="250"/>
      <c r="F38" s="250"/>
      <c r="G38" s="250"/>
      <c r="H38" s="250"/>
      <c r="I38" s="250"/>
      <c r="J38" s="250"/>
      <c r="K38" s="168"/>
      <c r="L38" s="168"/>
      <c r="M38" s="163"/>
      <c r="N38" s="163"/>
      <c r="O38" s="45"/>
      <c r="P38" s="45"/>
    </row>
    <row r="39" spans="1:21">
      <c r="A39" s="269" t="s">
        <v>239</v>
      </c>
      <c r="B39" s="270">
        <f>B38/365/(1+B28)/1000000</f>
        <v>1069.9530582212715</v>
      </c>
      <c r="C39" s="52" t="s">
        <v>87</v>
      </c>
      <c r="D39" s="250"/>
      <c r="E39" s="250"/>
      <c r="F39" s="250"/>
      <c r="G39" s="250"/>
      <c r="H39" s="250"/>
      <c r="I39" s="250"/>
      <c r="J39" s="250"/>
      <c r="K39" s="168"/>
      <c r="L39" s="168"/>
      <c r="M39" s="163"/>
      <c r="N39" s="163"/>
      <c r="O39" s="45"/>
      <c r="P39" s="45"/>
    </row>
    <row r="40" spans="1:21">
      <c r="A40" s="194" t="s">
        <v>157</v>
      </c>
      <c r="B40" s="266">
        <f>B23-B39</f>
        <v>0.18074874663898299</v>
      </c>
      <c r="C40" s="52" t="s">
        <v>87</v>
      </c>
      <c r="D40" s="250"/>
      <c r="E40" s="250"/>
      <c r="F40" s="250"/>
      <c r="G40" s="250"/>
      <c r="H40" s="250"/>
      <c r="I40" s="250"/>
      <c r="J40" s="250"/>
      <c r="K40" s="168"/>
      <c r="L40" s="168"/>
      <c r="M40" s="163"/>
      <c r="N40" s="163"/>
      <c r="O40" s="45"/>
      <c r="P40" s="45"/>
    </row>
    <row r="41" spans="1:21">
      <c r="A41" s="194" t="s">
        <v>158</v>
      </c>
      <c r="B41" s="332">
        <f>(B23-B39)/B23</f>
        <v>1.689029404193031E-4</v>
      </c>
      <c r="C41" s="52"/>
      <c r="D41" s="250"/>
      <c r="E41" s="250"/>
      <c r="F41" s="250"/>
      <c r="G41" s="250"/>
      <c r="H41" s="250"/>
      <c r="I41" s="250"/>
      <c r="J41" s="250"/>
      <c r="K41" s="168"/>
      <c r="L41" s="168"/>
      <c r="M41" s="163"/>
      <c r="N41" s="163"/>
      <c r="O41" s="45"/>
      <c r="P41" s="45"/>
    </row>
    <row r="42" spans="1:21">
      <c r="A42" s="194" t="s">
        <v>347</v>
      </c>
      <c r="B42" s="273">
        <f>($B$27-$B$23)/B14*1000000</f>
        <v>569836.28281189827</v>
      </c>
      <c r="C42" s="52"/>
      <c r="D42" s="278"/>
      <c r="E42" s="278"/>
      <c r="F42" s="278"/>
      <c r="G42" s="278"/>
      <c r="H42" s="278"/>
      <c r="I42" s="278"/>
      <c r="J42" s="278"/>
      <c r="K42" s="278"/>
      <c r="L42" s="333"/>
      <c r="M42" s="275"/>
      <c r="N42" s="275"/>
      <c r="O42" s="3"/>
      <c r="P42" s="3"/>
      <c r="Q42" s="3"/>
      <c r="R42" s="3"/>
      <c r="S42" s="3"/>
      <c r="T42" s="3"/>
      <c r="U42" s="3"/>
    </row>
    <row r="43" spans="1:21">
      <c r="A43" s="194" t="s">
        <v>348</v>
      </c>
      <c r="B43" s="276">
        <f>B42/$B$22</f>
        <v>7.4745066793660248E-2</v>
      </c>
      <c r="C43" s="277"/>
      <c r="D43" s="163"/>
      <c r="E43" s="163"/>
      <c r="F43" s="163"/>
      <c r="G43" s="163"/>
      <c r="H43" s="163"/>
      <c r="I43" s="163"/>
      <c r="J43" s="163"/>
      <c r="K43" s="163"/>
      <c r="L43" s="163"/>
      <c r="M43" s="163"/>
      <c r="N43" s="163"/>
      <c r="O43" s="45"/>
      <c r="P43" s="45"/>
    </row>
    <row r="44" spans="1:21">
      <c r="A44" s="194" t="s">
        <v>349</v>
      </c>
      <c r="B44" s="274">
        <f>($B$27-$B$23)/B17*1000000</f>
        <v>330121.23638909124</v>
      </c>
      <c r="C44" s="277"/>
      <c r="D44" s="163"/>
      <c r="E44" s="163"/>
      <c r="F44" s="163"/>
      <c r="G44" s="163"/>
      <c r="H44" s="163"/>
      <c r="I44" s="163"/>
      <c r="J44" s="163"/>
      <c r="K44" s="163"/>
      <c r="L44" s="285"/>
      <c r="M44" s="163"/>
      <c r="N44" s="163"/>
      <c r="O44" s="45"/>
      <c r="P44" s="45"/>
    </row>
    <row r="45" spans="1:21" ht="15" thickBot="1">
      <c r="A45" s="239" t="s">
        <v>348</v>
      </c>
      <c r="B45" s="282">
        <f>B44/$B$22</f>
        <v>4.3301794933358902E-2</v>
      </c>
      <c r="C45" s="283"/>
      <c r="D45" s="163"/>
      <c r="E45" s="163"/>
      <c r="F45" s="163"/>
      <c r="G45" s="163"/>
      <c r="H45" s="163"/>
      <c r="I45" s="163"/>
      <c r="J45" s="163"/>
      <c r="K45" s="163"/>
      <c r="L45" s="163"/>
      <c r="M45" s="163"/>
      <c r="N45" s="163"/>
      <c r="O45" s="45"/>
      <c r="P45" s="45"/>
    </row>
    <row r="46" spans="1:21">
      <c r="A46" s="163"/>
      <c r="B46" s="163"/>
      <c r="C46" s="163"/>
      <c r="D46" s="163"/>
      <c r="E46" s="163"/>
      <c r="F46" s="163"/>
      <c r="G46" s="163"/>
      <c r="H46" s="163"/>
      <c r="I46" s="163"/>
      <c r="J46" s="163"/>
      <c r="K46" s="163"/>
      <c r="L46" s="163"/>
      <c r="M46" s="163"/>
      <c r="N46" s="163"/>
      <c r="O46" s="45"/>
      <c r="P46" s="45"/>
    </row>
    <row r="47" spans="1:21">
      <c r="A47" s="172" t="s">
        <v>187</v>
      </c>
      <c r="B47" s="285"/>
      <c r="C47" s="163"/>
      <c r="D47" s="168"/>
      <c r="E47" s="171"/>
      <c r="F47" s="171"/>
      <c r="G47" s="171"/>
      <c r="H47" s="171"/>
      <c r="I47" s="168"/>
      <c r="J47" s="172" t="s">
        <v>186</v>
      </c>
      <c r="K47" s="168"/>
      <c r="L47" s="163"/>
      <c r="M47" s="163"/>
      <c r="N47" s="163"/>
      <c r="O47" s="45"/>
      <c r="P47" s="45"/>
    </row>
    <row r="48" spans="1:21">
      <c r="A48" s="287" t="s">
        <v>159</v>
      </c>
      <c r="B48" s="163"/>
      <c r="C48" s="163"/>
      <c r="D48" s="163"/>
      <c r="E48" s="163"/>
      <c r="F48" s="163"/>
      <c r="G48" s="163"/>
      <c r="H48" s="163"/>
      <c r="I48" s="163"/>
      <c r="J48" s="163"/>
      <c r="K48" s="163"/>
      <c r="L48" s="163"/>
      <c r="M48" s="163"/>
      <c r="N48" s="163"/>
      <c r="O48" s="45"/>
      <c r="P48" s="45"/>
    </row>
    <row r="49" spans="1:16">
      <c r="A49" s="179"/>
      <c r="B49" s="163"/>
      <c r="C49" s="163"/>
      <c r="D49" s="163"/>
      <c r="E49" s="163"/>
      <c r="F49" s="163"/>
      <c r="G49" s="163"/>
      <c r="H49" s="163"/>
      <c r="I49" s="293"/>
      <c r="J49" s="163"/>
      <c r="K49" s="163"/>
      <c r="L49" s="163"/>
      <c r="M49" s="163"/>
      <c r="N49" s="163"/>
      <c r="O49" s="45"/>
      <c r="P49" s="45"/>
    </row>
    <row r="50" spans="1:16">
      <c r="A50" s="291" t="s">
        <v>26</v>
      </c>
      <c r="B50" s="292"/>
      <c r="C50" s="292"/>
      <c r="D50" s="292"/>
      <c r="E50" s="292"/>
      <c r="F50" s="292"/>
      <c r="G50" s="292"/>
      <c r="H50" s="292"/>
      <c r="I50" s="293"/>
      <c r="J50" s="292">
        <f>B14</f>
        <v>85</v>
      </c>
      <c r="K50" s="292"/>
      <c r="L50" s="292"/>
      <c r="M50" s="163"/>
      <c r="N50" s="163"/>
      <c r="O50" s="45"/>
      <c r="P50" s="45"/>
    </row>
    <row r="51" spans="1:16" ht="28">
      <c r="A51" s="295" t="s">
        <v>27</v>
      </c>
      <c r="B51" s="296" t="s">
        <v>28</v>
      </c>
      <c r="C51" s="296" t="s">
        <v>33</v>
      </c>
      <c r="D51" s="296" t="s">
        <v>36</v>
      </c>
      <c r="E51" s="296" t="s">
        <v>32</v>
      </c>
      <c r="F51" s="296" t="s">
        <v>35</v>
      </c>
      <c r="G51" s="296" t="s">
        <v>34</v>
      </c>
      <c r="H51" s="296" t="s">
        <v>31</v>
      </c>
      <c r="I51" s="297"/>
      <c r="J51" s="295" t="s">
        <v>40</v>
      </c>
      <c r="K51" s="295" t="s">
        <v>41</v>
      </c>
      <c r="L51" s="295" t="s">
        <v>45</v>
      </c>
      <c r="M51" s="163"/>
      <c r="N51" s="163"/>
      <c r="O51" s="45"/>
      <c r="P51" s="45"/>
    </row>
    <row r="52" spans="1:16">
      <c r="A52" s="292">
        <v>0.1</v>
      </c>
      <c r="B52" s="292">
        <f>A52^$B$12</f>
        <v>0.954992586021436</v>
      </c>
      <c r="C52" s="300">
        <f t="shared" ref="C52:C61" si="0">$B$64*B52</f>
        <v>2315441.4654934541</v>
      </c>
      <c r="D52" s="292">
        <f>D13</f>
        <v>67.290000000000006</v>
      </c>
      <c r="E52" s="292">
        <f>D52+$D$52*$A$52*$B$66</f>
        <v>74.019000000000005</v>
      </c>
      <c r="F52" s="307">
        <f>AVERAGE(E52,D52)</f>
        <v>70.654500000000013</v>
      </c>
      <c r="G52" s="302">
        <f t="shared" ref="G52:G61" si="1">H52*F52</f>
        <v>163596359.02370727</v>
      </c>
      <c r="H52" s="302">
        <f>C52</f>
        <v>2315441.4654934541</v>
      </c>
      <c r="I52" s="293"/>
      <c r="J52" s="307">
        <f>IF(F52&lt;$J$50,$J$50,F52)</f>
        <v>85</v>
      </c>
      <c r="K52" s="302">
        <f>H52*J52</f>
        <v>196812524.56694362</v>
      </c>
      <c r="L52" s="300">
        <f>IF(J52&gt;F52,H52,0)</f>
        <v>2315441.4654934541</v>
      </c>
      <c r="M52" s="163"/>
      <c r="N52" s="163"/>
      <c r="O52" s="55">
        <f>C52</f>
        <v>2315441.4654934541</v>
      </c>
      <c r="P52" s="45"/>
    </row>
    <row r="53" spans="1:16">
      <c r="A53" s="292">
        <f>A52+0.1</f>
        <v>0.2</v>
      </c>
      <c r="B53" s="292">
        <f t="shared" ref="B53:B61" si="2">A53^$B$12</f>
        <v>0.96832378572562983</v>
      </c>
      <c r="C53" s="300">
        <f t="shared" si="0"/>
        <v>2347763.8238360053</v>
      </c>
      <c r="D53" s="300">
        <f>E52</f>
        <v>74.019000000000005</v>
      </c>
      <c r="E53" s="292">
        <f t="shared" ref="E53:E61" si="3">D53+$D$52*$A$52*$B$66</f>
        <v>80.748000000000005</v>
      </c>
      <c r="F53" s="307">
        <f t="shared" ref="F53:F61" si="4">AVERAGE(E53,E52)</f>
        <v>77.383499999999998</v>
      </c>
      <c r="G53" s="302">
        <f t="shared" si="1"/>
        <v>2501217.2168008075</v>
      </c>
      <c r="H53" s="302">
        <f t="shared" ref="H53:H61" si="5">C53-C52</f>
        <v>32322.358342551161</v>
      </c>
      <c r="I53" s="293"/>
      <c r="J53" s="307">
        <f t="shared" ref="J53:J61" si="6">IF(F53&lt;$J$50,$J$50,F53)</f>
        <v>85</v>
      </c>
      <c r="K53" s="302">
        <f t="shared" ref="K53:K61" si="7">H53*J53</f>
        <v>2747400.4591168487</v>
      </c>
      <c r="L53" s="300">
        <f t="shared" ref="L53:L61" si="8">IF(J53&gt;F53,H53,0)</f>
        <v>32322.358342551161</v>
      </c>
      <c r="M53" s="163"/>
      <c r="N53" s="163"/>
      <c r="O53" s="55">
        <f>C53-C52</f>
        <v>32322.358342551161</v>
      </c>
      <c r="P53" s="45"/>
    </row>
    <row r="54" spans="1:16">
      <c r="A54" s="292">
        <f t="shared" ref="A54:A61" si="9">A53+0.1</f>
        <v>0.30000000000000004</v>
      </c>
      <c r="B54" s="292">
        <f t="shared" si="2"/>
        <v>0.97620814099778364</v>
      </c>
      <c r="C54" s="300">
        <f t="shared" si="0"/>
        <v>2366879.9545715135</v>
      </c>
      <c r="D54" s="300">
        <f t="shared" ref="D54:D61" si="10">E53</f>
        <v>80.748000000000005</v>
      </c>
      <c r="E54" s="292">
        <f t="shared" si="3"/>
        <v>87.477000000000004</v>
      </c>
      <c r="F54" s="307">
        <f t="shared" si="4"/>
        <v>84.112500000000011</v>
      </c>
      <c r="G54" s="302">
        <f t="shared" si="1"/>
        <v>1607905.5464904308</v>
      </c>
      <c r="H54" s="302">
        <f t="shared" si="5"/>
        <v>19116.130735508166</v>
      </c>
      <c r="I54" s="293"/>
      <c r="J54" s="307">
        <f t="shared" si="6"/>
        <v>85</v>
      </c>
      <c r="K54" s="302">
        <f t="shared" si="7"/>
        <v>1624871.1125181941</v>
      </c>
      <c r="L54" s="300">
        <f t="shared" si="8"/>
        <v>19116.130735508166</v>
      </c>
      <c r="M54" s="163"/>
      <c r="N54" s="163"/>
      <c r="O54" s="55">
        <f t="shared" ref="O54:O61" si="11">C54-C53</f>
        <v>19116.130735508166</v>
      </c>
      <c r="P54" s="45"/>
    </row>
    <row r="55" spans="1:16">
      <c r="A55" s="292">
        <f t="shared" si="9"/>
        <v>0.4</v>
      </c>
      <c r="B55" s="292">
        <f t="shared" si="2"/>
        <v>0.98184108204267129</v>
      </c>
      <c r="C55" s="300">
        <f t="shared" si="0"/>
        <v>2380537.3854866056</v>
      </c>
      <c r="D55" s="300">
        <f t="shared" si="10"/>
        <v>87.477000000000004</v>
      </c>
      <c r="E55" s="292">
        <f t="shared" si="3"/>
        <v>94.206000000000003</v>
      </c>
      <c r="F55" s="307">
        <f t="shared" si="4"/>
        <v>90.841499999999996</v>
      </c>
      <c r="G55" s="302">
        <f t="shared" si="1"/>
        <v>1240661.5104733405</v>
      </c>
      <c r="H55" s="302">
        <f t="shared" si="5"/>
        <v>13657.430915092118</v>
      </c>
      <c r="I55" s="293"/>
      <c r="J55" s="307">
        <f t="shared" si="6"/>
        <v>90.841499999999996</v>
      </c>
      <c r="K55" s="302">
        <f t="shared" si="7"/>
        <v>1240661.5104733405</v>
      </c>
      <c r="L55" s="300">
        <f t="shared" si="8"/>
        <v>0</v>
      </c>
      <c r="M55" s="163"/>
      <c r="N55" s="163"/>
      <c r="O55" s="55">
        <f t="shared" si="11"/>
        <v>13657.430915092118</v>
      </c>
      <c r="P55" s="45"/>
    </row>
    <row r="56" spans="1:16">
      <c r="A56" s="292">
        <f t="shared" si="9"/>
        <v>0.5</v>
      </c>
      <c r="B56" s="292">
        <f t="shared" si="2"/>
        <v>0.9862327044933592</v>
      </c>
      <c r="C56" s="300">
        <f t="shared" si="0"/>
        <v>2391185.1589583112</v>
      </c>
      <c r="D56" s="300">
        <f t="shared" si="10"/>
        <v>94.206000000000003</v>
      </c>
      <c r="E56" s="292">
        <f t="shared" si="3"/>
        <v>100.935</v>
      </c>
      <c r="F56" s="307">
        <f t="shared" si="4"/>
        <v>97.57050000000001</v>
      </c>
      <c r="G56" s="302">
        <f t="shared" si="1"/>
        <v>1038908.5815210529</v>
      </c>
      <c r="H56" s="302">
        <f t="shared" si="5"/>
        <v>10647.773471705616</v>
      </c>
      <c r="I56" s="293"/>
      <c r="J56" s="307">
        <f t="shared" si="6"/>
        <v>97.57050000000001</v>
      </c>
      <c r="K56" s="302">
        <f t="shared" si="7"/>
        <v>1038908.5815210529</v>
      </c>
      <c r="L56" s="300">
        <f t="shared" si="8"/>
        <v>0</v>
      </c>
      <c r="M56" s="163"/>
      <c r="N56" s="163"/>
      <c r="O56" s="55">
        <f t="shared" si="11"/>
        <v>10647.773471705616</v>
      </c>
      <c r="P56" s="45"/>
    </row>
    <row r="57" spans="1:16">
      <c r="A57" s="292">
        <f t="shared" si="9"/>
        <v>0.6</v>
      </c>
      <c r="B57" s="292">
        <f t="shared" si="2"/>
        <v>0.98983549881290411</v>
      </c>
      <c r="C57" s="300">
        <f t="shared" si="0"/>
        <v>2399920.3674627794</v>
      </c>
      <c r="D57" s="300">
        <f t="shared" si="10"/>
        <v>100.935</v>
      </c>
      <c r="E57" s="292">
        <f t="shared" si="3"/>
        <v>107.664</v>
      </c>
      <c r="F57" s="307">
        <f t="shared" si="4"/>
        <v>104.29949999999999</v>
      </c>
      <c r="G57" s="302">
        <f t="shared" si="1"/>
        <v>911077.87941178121</v>
      </c>
      <c r="H57" s="302">
        <f t="shared" si="5"/>
        <v>8735.2085044682026</v>
      </c>
      <c r="I57" s="293"/>
      <c r="J57" s="307">
        <f t="shared" si="6"/>
        <v>104.29949999999999</v>
      </c>
      <c r="K57" s="302">
        <f t="shared" si="7"/>
        <v>911077.87941178121</v>
      </c>
      <c r="L57" s="300">
        <f t="shared" si="8"/>
        <v>0</v>
      </c>
      <c r="M57" s="163"/>
      <c r="N57" s="163"/>
      <c r="O57" s="55">
        <f t="shared" si="11"/>
        <v>8735.2085044682026</v>
      </c>
      <c r="P57" s="45"/>
    </row>
    <row r="58" spans="1:16">
      <c r="A58" s="292">
        <f t="shared" si="9"/>
        <v>0.7</v>
      </c>
      <c r="B58" s="292">
        <f t="shared" si="2"/>
        <v>0.99289188413193019</v>
      </c>
      <c r="C58" s="300">
        <f t="shared" si="0"/>
        <v>2407330.771905479</v>
      </c>
      <c r="D58" s="300">
        <f t="shared" si="10"/>
        <v>107.664</v>
      </c>
      <c r="E58" s="292">
        <f t="shared" si="3"/>
        <v>114.393</v>
      </c>
      <c r="F58" s="307">
        <f t="shared" si="4"/>
        <v>111.02850000000001</v>
      </c>
      <c r="G58" s="302">
        <f t="shared" si="1"/>
        <v>822766.08966627554</v>
      </c>
      <c r="H58" s="302">
        <f t="shared" si="5"/>
        <v>7410.4044426996261</v>
      </c>
      <c r="I58" s="293"/>
      <c r="J58" s="307">
        <f t="shared" si="6"/>
        <v>111.02850000000001</v>
      </c>
      <c r="K58" s="302">
        <f t="shared" si="7"/>
        <v>822766.08966627554</v>
      </c>
      <c r="L58" s="300">
        <f t="shared" si="8"/>
        <v>0</v>
      </c>
      <c r="M58" s="163"/>
      <c r="N58" s="163"/>
      <c r="O58" s="55">
        <f t="shared" si="11"/>
        <v>7410.4044426996261</v>
      </c>
      <c r="P58" s="45"/>
    </row>
    <row r="59" spans="1:16">
      <c r="A59" s="292">
        <f t="shared" si="9"/>
        <v>0.79999999999999993</v>
      </c>
      <c r="B59" s="292">
        <f t="shared" si="2"/>
        <v>0.9955470727844663</v>
      </c>
      <c r="C59" s="300">
        <f t="shared" si="0"/>
        <v>2413768.4490087144</v>
      </c>
      <c r="D59" s="300">
        <f t="shared" si="10"/>
        <v>114.393</v>
      </c>
      <c r="E59" s="292">
        <f t="shared" si="3"/>
        <v>121.122</v>
      </c>
      <c r="F59" s="307">
        <f t="shared" si="4"/>
        <v>117.75749999999999</v>
      </c>
      <c r="G59" s="302">
        <f t="shared" si="1"/>
        <v>758084.761484241</v>
      </c>
      <c r="H59" s="302">
        <f t="shared" si="5"/>
        <v>6437.6771032353863</v>
      </c>
      <c r="I59" s="293"/>
      <c r="J59" s="307">
        <f t="shared" si="6"/>
        <v>117.75749999999999</v>
      </c>
      <c r="K59" s="302">
        <f t="shared" si="7"/>
        <v>758084.761484241</v>
      </c>
      <c r="L59" s="300">
        <f t="shared" si="8"/>
        <v>0</v>
      </c>
      <c r="M59" s="163"/>
      <c r="N59" s="163"/>
      <c r="O59" s="55">
        <f t="shared" si="11"/>
        <v>6437.6771032353863</v>
      </c>
      <c r="P59" s="45"/>
    </row>
    <row r="60" spans="1:16">
      <c r="A60" s="292">
        <f t="shared" si="9"/>
        <v>0.89999999999999991</v>
      </c>
      <c r="B60" s="292">
        <f t="shared" si="2"/>
        <v>0.9978950082958632</v>
      </c>
      <c r="C60" s="300">
        <f t="shared" si="0"/>
        <v>2419461.1709428625</v>
      </c>
      <c r="D60" s="300">
        <f t="shared" si="10"/>
        <v>121.122</v>
      </c>
      <c r="E60" s="292">
        <f t="shared" si="3"/>
        <v>127.851</v>
      </c>
      <c r="F60" s="307">
        <f t="shared" si="4"/>
        <v>124.48650000000001</v>
      </c>
      <c r="G60" s="302">
        <f t="shared" si="1"/>
        <v>708667.02905532881</v>
      </c>
      <c r="H60" s="302">
        <f t="shared" si="5"/>
        <v>5692.7219341481104</v>
      </c>
      <c r="I60" s="293"/>
      <c r="J60" s="307">
        <f t="shared" si="6"/>
        <v>124.48650000000001</v>
      </c>
      <c r="K60" s="302">
        <f t="shared" si="7"/>
        <v>708667.02905532881</v>
      </c>
      <c r="L60" s="300">
        <f t="shared" si="8"/>
        <v>0</v>
      </c>
      <c r="M60" s="163"/>
      <c r="N60" s="163"/>
      <c r="O60" s="55">
        <f t="shared" si="11"/>
        <v>5692.7219341481104</v>
      </c>
      <c r="P60" s="45"/>
    </row>
    <row r="61" spans="1:16">
      <c r="A61" s="292">
        <f t="shared" si="9"/>
        <v>0.99999999999999989</v>
      </c>
      <c r="B61" s="292">
        <f t="shared" si="2"/>
        <v>1</v>
      </c>
      <c r="C61" s="300">
        <f t="shared" si="0"/>
        <v>2424564.8598590074</v>
      </c>
      <c r="D61" s="300">
        <f t="shared" si="10"/>
        <v>127.851</v>
      </c>
      <c r="E61" s="292">
        <f t="shared" si="3"/>
        <v>134.58000000000001</v>
      </c>
      <c r="F61" s="307">
        <f t="shared" si="4"/>
        <v>131.21550000000002</v>
      </c>
      <c r="G61" s="302">
        <f t="shared" si="1"/>
        <v>669683.09297641029</v>
      </c>
      <c r="H61" s="302">
        <f t="shared" si="5"/>
        <v>5103.6889161448926</v>
      </c>
      <c r="I61" s="293"/>
      <c r="J61" s="307">
        <f t="shared" si="6"/>
        <v>131.21550000000002</v>
      </c>
      <c r="K61" s="302">
        <f t="shared" si="7"/>
        <v>669683.09297641029</v>
      </c>
      <c r="L61" s="300">
        <f t="shared" si="8"/>
        <v>0</v>
      </c>
      <c r="M61" s="163"/>
      <c r="N61" s="163"/>
      <c r="O61" s="55">
        <f t="shared" si="11"/>
        <v>5103.6889161448926</v>
      </c>
      <c r="P61" s="45"/>
    </row>
    <row r="62" spans="1:16">
      <c r="A62" s="292"/>
      <c r="B62" s="292"/>
      <c r="C62" s="292"/>
      <c r="D62" s="292"/>
      <c r="E62" s="292"/>
      <c r="F62" s="302"/>
      <c r="G62" s="302">
        <f>SUM(G52:G61)</f>
        <v>173855330.73158696</v>
      </c>
      <c r="H62" s="302">
        <f>SUM(H52:H61)</f>
        <v>2424564.8598590074</v>
      </c>
      <c r="I62" s="293"/>
      <c r="J62" s="292"/>
      <c r="K62" s="302">
        <f>SUM(K52:K61)</f>
        <v>207334645.08316711</v>
      </c>
      <c r="L62" s="302">
        <f>SUM(L52:L61)</f>
        <v>2366879.9545715135</v>
      </c>
      <c r="M62" s="163"/>
      <c r="N62" s="163"/>
      <c r="O62" s="55">
        <f>SUM(O52:O61)</f>
        <v>2424564.8598590074</v>
      </c>
      <c r="P62" s="45"/>
    </row>
    <row r="63" spans="1:16">
      <c r="A63" s="292"/>
      <c r="B63" s="292"/>
      <c r="C63" s="292"/>
      <c r="D63" s="292"/>
      <c r="E63" s="292"/>
      <c r="F63" s="292"/>
      <c r="G63" s="292"/>
      <c r="H63" s="292"/>
      <c r="I63" s="293"/>
      <c r="J63" s="292"/>
      <c r="K63" s="300"/>
      <c r="L63" s="302"/>
      <c r="M63" s="163"/>
      <c r="N63" s="163"/>
      <c r="O63" s="45"/>
      <c r="P63" s="45"/>
    </row>
    <row r="64" spans="1:16">
      <c r="A64" s="295" t="s">
        <v>30</v>
      </c>
      <c r="B64" s="305">
        <f>E22</f>
        <v>2424564.8598590074</v>
      </c>
      <c r="C64" s="292"/>
      <c r="D64" s="292"/>
      <c r="E64" s="292"/>
      <c r="F64" s="292"/>
      <c r="G64" s="292"/>
      <c r="H64" s="292"/>
      <c r="I64" s="293"/>
      <c r="J64" s="292"/>
      <c r="K64" s="292"/>
      <c r="L64" s="292"/>
      <c r="M64" s="163"/>
      <c r="N64" s="163"/>
      <c r="O64" s="45"/>
      <c r="P64" s="45"/>
    </row>
    <row r="65" spans="1:16">
      <c r="A65" s="295" t="s">
        <v>37</v>
      </c>
      <c r="B65" s="292">
        <f>G62/H62</f>
        <v>71.705786720713647</v>
      </c>
      <c r="C65" s="292"/>
      <c r="D65" s="292"/>
      <c r="E65" s="292"/>
      <c r="F65" s="292"/>
      <c r="G65" s="292"/>
      <c r="H65" s="292"/>
      <c r="I65" s="293"/>
      <c r="J65" s="292"/>
      <c r="K65" s="292"/>
      <c r="L65" s="292"/>
      <c r="M65" s="163"/>
      <c r="N65" s="163"/>
      <c r="O65" s="45"/>
      <c r="P65" s="45"/>
    </row>
    <row r="66" spans="1:16">
      <c r="A66" s="295" t="s">
        <v>43</v>
      </c>
      <c r="B66" s="292">
        <v>1</v>
      </c>
      <c r="C66" s="292"/>
      <c r="D66" s="292"/>
      <c r="E66" s="292"/>
      <c r="F66" s="292"/>
      <c r="G66" s="292"/>
      <c r="H66" s="292"/>
      <c r="I66" s="293"/>
      <c r="J66" s="292"/>
      <c r="K66" s="292"/>
      <c r="L66" s="292"/>
      <c r="M66" s="163"/>
      <c r="N66" s="163"/>
      <c r="O66" s="45"/>
      <c r="P66" s="45"/>
    </row>
    <row r="67" spans="1:16">
      <c r="A67" s="295" t="s">
        <v>44</v>
      </c>
      <c r="B67" s="302">
        <f>G62*360</f>
        <v>62587919063.371307</v>
      </c>
      <c r="C67" s="292"/>
      <c r="D67" s="292"/>
      <c r="E67" s="292"/>
      <c r="F67" s="292"/>
      <c r="G67" s="292"/>
      <c r="H67" s="292"/>
      <c r="I67" s="293"/>
      <c r="J67" s="292"/>
      <c r="K67" s="292"/>
      <c r="L67" s="292"/>
      <c r="M67" s="163"/>
      <c r="N67" s="163"/>
      <c r="O67" s="45"/>
      <c r="P67" s="45"/>
    </row>
    <row r="68" spans="1:16">
      <c r="A68" s="295" t="s">
        <v>40</v>
      </c>
      <c r="B68" s="292">
        <f>K62/H62</f>
        <v>85.514167311335186</v>
      </c>
      <c r="C68" s="292"/>
      <c r="D68" s="292"/>
      <c r="E68" s="292"/>
      <c r="F68" s="292"/>
      <c r="G68" s="292"/>
      <c r="H68" s="292"/>
      <c r="I68" s="293"/>
      <c r="J68" s="292"/>
      <c r="K68" s="292"/>
      <c r="L68" s="292"/>
      <c r="M68" s="163"/>
      <c r="N68" s="163"/>
      <c r="O68" s="45"/>
      <c r="P68" s="45"/>
    </row>
    <row r="69" spans="1:16">
      <c r="A69" s="295" t="s">
        <v>42</v>
      </c>
      <c r="B69" s="306">
        <f>K62/G62-1</f>
        <v>0.19256996153467631</v>
      </c>
      <c r="C69" s="292"/>
      <c r="D69" s="292"/>
      <c r="E69" s="292"/>
      <c r="F69" s="292"/>
      <c r="G69" s="292"/>
      <c r="H69" s="292"/>
      <c r="I69" s="293"/>
      <c r="J69" s="292"/>
      <c r="K69" s="292"/>
      <c r="L69" s="292"/>
      <c r="M69" s="163"/>
      <c r="N69" s="163"/>
      <c r="O69" s="45"/>
      <c r="P69" s="45"/>
    </row>
    <row r="70" spans="1:16">
      <c r="A70" s="163"/>
      <c r="B70" s="228"/>
      <c r="C70" s="163"/>
      <c r="D70" s="163"/>
      <c r="E70" s="163"/>
      <c r="F70" s="163"/>
      <c r="G70" s="163"/>
      <c r="H70" s="163"/>
      <c r="I70" s="293"/>
      <c r="J70" s="163"/>
      <c r="K70" s="163"/>
      <c r="L70" s="163"/>
      <c r="M70" s="163"/>
      <c r="N70" s="163"/>
      <c r="O70" s="45"/>
      <c r="P70" s="45"/>
    </row>
    <row r="71" spans="1:16">
      <c r="A71" s="163"/>
      <c r="B71" s="228"/>
      <c r="C71" s="163"/>
      <c r="D71" s="163"/>
      <c r="E71" s="163"/>
      <c r="F71" s="163"/>
      <c r="G71" s="163"/>
      <c r="H71" s="163"/>
      <c r="I71" s="293"/>
      <c r="J71" s="163"/>
      <c r="K71" s="163"/>
      <c r="L71" s="163"/>
      <c r="M71" s="163"/>
      <c r="N71" s="163"/>
      <c r="O71" s="45"/>
      <c r="P71" s="45"/>
    </row>
    <row r="72" spans="1:16">
      <c r="A72" s="291" t="s">
        <v>38</v>
      </c>
      <c r="B72" s="292"/>
      <c r="C72" s="292"/>
      <c r="D72" s="292"/>
      <c r="E72" s="292"/>
      <c r="F72" s="292"/>
      <c r="G72" s="292"/>
      <c r="H72" s="292"/>
      <c r="I72" s="293"/>
      <c r="J72" s="292"/>
      <c r="K72" s="292"/>
      <c r="L72" s="292"/>
      <c r="M72" s="163"/>
      <c r="N72" s="163"/>
      <c r="O72" s="45"/>
      <c r="P72" s="45"/>
    </row>
    <row r="73" spans="1:16" ht="28">
      <c r="A73" s="295" t="s">
        <v>27</v>
      </c>
      <c r="B73" s="296" t="s">
        <v>28</v>
      </c>
      <c r="C73" s="296" t="s">
        <v>33</v>
      </c>
      <c r="D73" s="296" t="s">
        <v>36</v>
      </c>
      <c r="E73" s="296" t="s">
        <v>32</v>
      </c>
      <c r="F73" s="296" t="s">
        <v>35</v>
      </c>
      <c r="G73" s="296" t="s">
        <v>34</v>
      </c>
      <c r="H73" s="296" t="s">
        <v>31</v>
      </c>
      <c r="I73" s="297"/>
      <c r="J73" s="295" t="s">
        <v>40</v>
      </c>
      <c r="K73" s="295" t="s">
        <v>41</v>
      </c>
      <c r="L73" s="295" t="s">
        <v>45</v>
      </c>
      <c r="M73" s="163"/>
      <c r="N73" s="163"/>
      <c r="O73" s="45"/>
      <c r="P73" s="45"/>
    </row>
    <row r="74" spans="1:16">
      <c r="A74" s="292">
        <v>0.1</v>
      </c>
      <c r="B74" s="292">
        <f t="shared" ref="B74:B83" si="12">A74^$B$12</f>
        <v>0.954992586021436</v>
      </c>
      <c r="C74" s="300">
        <f>$B$86*B74</f>
        <v>2497036.6770343059</v>
      </c>
      <c r="D74" s="292">
        <f>E11</f>
        <v>134.58000000000001</v>
      </c>
      <c r="E74" s="292">
        <f>D74+$D$52*$A$74*$B$88</f>
        <v>141.30900000000003</v>
      </c>
      <c r="F74" s="292">
        <f>AVERAGE(E74,D74)</f>
        <v>137.94450000000001</v>
      </c>
      <c r="G74" s="302">
        <f t="shared" ref="G74:G83" si="13">H74*F74</f>
        <v>344452475.89515883</v>
      </c>
      <c r="H74" s="302">
        <f>C74</f>
        <v>2497036.6770343059</v>
      </c>
      <c r="I74" s="293"/>
      <c r="J74" s="292">
        <f>IF(F74&lt;$J$50,$J$50,F74)</f>
        <v>137.94450000000001</v>
      </c>
      <c r="K74" s="302">
        <f>H74*J74</f>
        <v>344452475.89515883</v>
      </c>
      <c r="L74" s="300">
        <f>IF(J74&gt;F74,H74,0)</f>
        <v>0</v>
      </c>
      <c r="M74" s="163"/>
      <c r="N74" s="163"/>
      <c r="O74" s="45"/>
      <c r="P74" s="45"/>
    </row>
    <row r="75" spans="1:16">
      <c r="A75" s="292">
        <f>A74+0.1</f>
        <v>0.2</v>
      </c>
      <c r="B75" s="292">
        <f t="shared" si="12"/>
        <v>0.96832378572562983</v>
      </c>
      <c r="C75" s="300">
        <f t="shared" ref="C75:C83" si="14">$B$86*B75</f>
        <v>2531894.0100623276</v>
      </c>
      <c r="D75" s="300">
        <f>E74</f>
        <v>141.30900000000003</v>
      </c>
      <c r="E75" s="292">
        <f t="shared" ref="E75:E83" si="15">D75+$D$52*$A$74*$B$88</f>
        <v>148.03800000000004</v>
      </c>
      <c r="F75" s="292">
        <f t="shared" ref="F75:F83" si="16">AVERAGE(E75,E74)</f>
        <v>144.67350000000005</v>
      </c>
      <c r="G75" s="302">
        <f t="shared" si="13"/>
        <v>5042932.3698295038</v>
      </c>
      <c r="H75" s="302">
        <f t="shared" ref="H75:H83" si="17">C75-C74</f>
        <v>34857.333028021734</v>
      </c>
      <c r="I75" s="293"/>
      <c r="J75" s="292">
        <f t="shared" ref="J75:J83" si="18">IF(F75&lt;$J$50,$J$50,F75)</f>
        <v>144.67350000000005</v>
      </c>
      <c r="K75" s="302">
        <f t="shared" ref="K75:K83" si="19">H75*J75</f>
        <v>5042932.3698295038</v>
      </c>
      <c r="L75" s="300">
        <f t="shared" ref="L75:L83" si="20">IF(J75&gt;F75,H75,0)</f>
        <v>0</v>
      </c>
      <c r="M75" s="163"/>
      <c r="N75" s="163"/>
      <c r="O75" s="45"/>
      <c r="P75" s="45"/>
    </row>
    <row r="76" spans="1:16">
      <c r="A76" s="292">
        <f t="shared" ref="A76:A83" si="21">A75+0.1</f>
        <v>0.30000000000000004</v>
      </c>
      <c r="B76" s="292">
        <f t="shared" si="12"/>
        <v>0.97620814099778364</v>
      </c>
      <c r="C76" s="300">
        <f t="shared" si="14"/>
        <v>2552509.3787861378</v>
      </c>
      <c r="D76" s="300">
        <f t="shared" ref="D76:D83" si="22">E75</f>
        <v>148.03800000000004</v>
      </c>
      <c r="E76" s="292">
        <f t="shared" si="15"/>
        <v>154.76700000000005</v>
      </c>
      <c r="F76" s="292">
        <f t="shared" si="16"/>
        <v>151.40250000000003</v>
      </c>
      <c r="G76" s="302">
        <f t="shared" si="13"/>
        <v>3121218.363206672</v>
      </c>
      <c r="H76" s="302">
        <f t="shared" si="17"/>
        <v>20615.368723810185</v>
      </c>
      <c r="I76" s="293"/>
      <c r="J76" s="292">
        <f t="shared" si="18"/>
        <v>151.40250000000003</v>
      </c>
      <c r="K76" s="302">
        <f t="shared" si="19"/>
        <v>3121218.363206672</v>
      </c>
      <c r="L76" s="300">
        <f t="shared" si="20"/>
        <v>0</v>
      </c>
      <c r="M76" s="163"/>
      <c r="N76" s="163"/>
      <c r="O76" s="45"/>
      <c r="P76" s="45"/>
    </row>
    <row r="77" spans="1:16">
      <c r="A77" s="292">
        <f t="shared" si="21"/>
        <v>0.4</v>
      </c>
      <c r="B77" s="292">
        <f t="shared" si="12"/>
        <v>0.98184108204267129</v>
      </c>
      <c r="C77" s="300">
        <f t="shared" si="14"/>
        <v>2567237.9333262886</v>
      </c>
      <c r="D77" s="300">
        <f t="shared" si="22"/>
        <v>154.76700000000005</v>
      </c>
      <c r="E77" s="292">
        <f t="shared" si="15"/>
        <v>161.49600000000007</v>
      </c>
      <c r="F77" s="292">
        <f t="shared" si="16"/>
        <v>158.13150000000007</v>
      </c>
      <c r="G77" s="302">
        <f t="shared" si="13"/>
        <v>2329048.422265857</v>
      </c>
      <c r="H77" s="302">
        <f t="shared" si="17"/>
        <v>14728.554540150799</v>
      </c>
      <c r="I77" s="293"/>
      <c r="J77" s="292">
        <f t="shared" si="18"/>
        <v>158.13150000000007</v>
      </c>
      <c r="K77" s="302">
        <f t="shared" si="19"/>
        <v>2329048.422265857</v>
      </c>
      <c r="L77" s="300">
        <f t="shared" si="20"/>
        <v>0</v>
      </c>
      <c r="M77" s="163"/>
      <c r="N77" s="163"/>
      <c r="O77" s="45"/>
      <c r="P77" s="45"/>
    </row>
    <row r="78" spans="1:16">
      <c r="A78" s="292">
        <f t="shared" si="21"/>
        <v>0.5</v>
      </c>
      <c r="B78" s="292">
        <f t="shared" si="12"/>
        <v>0.9862327044933592</v>
      </c>
      <c r="C78" s="300">
        <f t="shared" si="14"/>
        <v>2578720.7893102709</v>
      </c>
      <c r="D78" s="300">
        <f t="shared" si="22"/>
        <v>161.49600000000007</v>
      </c>
      <c r="E78" s="292">
        <f t="shared" si="15"/>
        <v>168.22500000000008</v>
      </c>
      <c r="F78" s="292">
        <f t="shared" si="16"/>
        <v>164.86050000000006</v>
      </c>
      <c r="G78" s="302">
        <f t="shared" si="13"/>
        <v>1893069.3789473192</v>
      </c>
      <c r="H78" s="302">
        <f t="shared" si="17"/>
        <v>11482.855983982328</v>
      </c>
      <c r="I78" s="293"/>
      <c r="J78" s="292">
        <f t="shared" si="18"/>
        <v>164.86050000000006</v>
      </c>
      <c r="K78" s="302">
        <f t="shared" si="19"/>
        <v>1893069.3789473192</v>
      </c>
      <c r="L78" s="300">
        <f t="shared" si="20"/>
        <v>0</v>
      </c>
      <c r="M78" s="163"/>
      <c r="N78" s="163"/>
      <c r="O78" s="45"/>
      <c r="P78" s="45"/>
    </row>
    <row r="79" spans="1:16">
      <c r="A79" s="292">
        <f t="shared" si="21"/>
        <v>0.6</v>
      </c>
      <c r="B79" s="292">
        <f t="shared" si="12"/>
        <v>0.98983549881290411</v>
      </c>
      <c r="C79" s="300">
        <f t="shared" si="14"/>
        <v>2588141.0818731626</v>
      </c>
      <c r="D79" s="300">
        <f t="shared" si="22"/>
        <v>168.22500000000008</v>
      </c>
      <c r="E79" s="292">
        <f t="shared" si="15"/>
        <v>174.95400000000009</v>
      </c>
      <c r="F79" s="292">
        <f t="shared" si="16"/>
        <v>171.5895000000001</v>
      </c>
      <c r="G79" s="302">
        <f t="shared" si="13"/>
        <v>1616423.2907203112</v>
      </c>
      <c r="H79" s="302">
        <f t="shared" si="17"/>
        <v>9420.2925628917292</v>
      </c>
      <c r="I79" s="293"/>
      <c r="J79" s="292">
        <f t="shared" si="18"/>
        <v>171.5895000000001</v>
      </c>
      <c r="K79" s="302">
        <f t="shared" si="19"/>
        <v>1616423.2907203112</v>
      </c>
      <c r="L79" s="300">
        <f t="shared" si="20"/>
        <v>0</v>
      </c>
      <c r="M79" s="163"/>
      <c r="N79" s="163"/>
      <c r="O79" s="45"/>
      <c r="P79" s="45"/>
    </row>
    <row r="80" spans="1:16">
      <c r="A80" s="292">
        <f t="shared" si="21"/>
        <v>0.7</v>
      </c>
      <c r="B80" s="292">
        <f t="shared" si="12"/>
        <v>0.99289188413193019</v>
      </c>
      <c r="C80" s="300">
        <f t="shared" si="14"/>
        <v>2596132.6687739072</v>
      </c>
      <c r="D80" s="300">
        <f t="shared" si="22"/>
        <v>174.95400000000009</v>
      </c>
      <c r="E80" s="292">
        <f t="shared" si="15"/>
        <v>181.68300000000011</v>
      </c>
      <c r="F80" s="292">
        <f t="shared" si="16"/>
        <v>178.31850000000009</v>
      </c>
      <c r="G80" s="302">
        <f t="shared" si="13"/>
        <v>1425047.7887604244</v>
      </c>
      <c r="H80" s="302">
        <f t="shared" si="17"/>
        <v>7991.5869007445872</v>
      </c>
      <c r="I80" s="293"/>
      <c r="J80" s="292">
        <f t="shared" si="18"/>
        <v>178.31850000000009</v>
      </c>
      <c r="K80" s="302">
        <f t="shared" si="19"/>
        <v>1425047.7887604244</v>
      </c>
      <c r="L80" s="300">
        <f t="shared" si="20"/>
        <v>0</v>
      </c>
      <c r="M80" s="163"/>
      <c r="N80" s="163"/>
      <c r="O80" s="45"/>
      <c r="P80" s="45"/>
    </row>
    <row r="81" spans="1:16">
      <c r="A81" s="292">
        <f t="shared" si="21"/>
        <v>0.79999999999999993</v>
      </c>
      <c r="B81" s="292">
        <f t="shared" si="12"/>
        <v>0.9955470727844663</v>
      </c>
      <c r="C81" s="300">
        <f t="shared" si="14"/>
        <v>2603075.2393727531</v>
      </c>
      <c r="D81" s="300">
        <f t="shared" si="22"/>
        <v>181.68300000000011</v>
      </c>
      <c r="E81" s="292">
        <f t="shared" si="15"/>
        <v>188.41200000000012</v>
      </c>
      <c r="F81" s="292">
        <f t="shared" si="16"/>
        <v>185.04750000000013</v>
      </c>
      <c r="G81" s="302">
        <f t="shared" si="13"/>
        <v>1284705.3328899257</v>
      </c>
      <c r="H81" s="302">
        <f t="shared" si="17"/>
        <v>6942.5705988458358</v>
      </c>
      <c r="I81" s="293"/>
      <c r="J81" s="292">
        <f t="shared" si="18"/>
        <v>185.04750000000013</v>
      </c>
      <c r="K81" s="302">
        <f t="shared" si="19"/>
        <v>1284705.3328899257</v>
      </c>
      <c r="L81" s="300">
        <f t="shared" si="20"/>
        <v>0</v>
      </c>
      <c r="M81" s="163"/>
      <c r="N81" s="163"/>
      <c r="O81" s="45"/>
      <c r="P81" s="45"/>
    </row>
    <row r="82" spans="1:16">
      <c r="A82" s="292">
        <f t="shared" si="21"/>
        <v>0.89999999999999991</v>
      </c>
      <c r="B82" s="292">
        <f t="shared" si="12"/>
        <v>0.9978950082958632</v>
      </c>
      <c r="C82" s="300">
        <f t="shared" si="14"/>
        <v>2609214.4295330602</v>
      </c>
      <c r="D82" s="300">
        <f t="shared" si="22"/>
        <v>188.41200000000012</v>
      </c>
      <c r="E82" s="292">
        <f t="shared" si="15"/>
        <v>195.14100000000013</v>
      </c>
      <c r="F82" s="292">
        <f t="shared" si="16"/>
        <v>191.77650000000011</v>
      </c>
      <c r="G82" s="302">
        <f t="shared" si="13"/>
        <v>1177352.4017781357</v>
      </c>
      <c r="H82" s="302">
        <f t="shared" si="17"/>
        <v>6139.1901603071019</v>
      </c>
      <c r="I82" s="293"/>
      <c r="J82" s="292">
        <f t="shared" si="18"/>
        <v>191.77650000000011</v>
      </c>
      <c r="K82" s="302">
        <f t="shared" si="19"/>
        <v>1177352.4017781357</v>
      </c>
      <c r="L82" s="300">
        <f t="shared" si="20"/>
        <v>0</v>
      </c>
      <c r="M82" s="163"/>
      <c r="N82" s="163"/>
      <c r="O82" s="45"/>
      <c r="P82" s="45"/>
    </row>
    <row r="83" spans="1:16">
      <c r="A83" s="292">
        <f t="shared" si="21"/>
        <v>0.99999999999999989</v>
      </c>
      <c r="B83" s="292">
        <f t="shared" si="12"/>
        <v>1</v>
      </c>
      <c r="C83" s="300">
        <f t="shared" si="14"/>
        <v>2614718.3900527754</v>
      </c>
      <c r="D83" s="300">
        <f t="shared" si="22"/>
        <v>195.14100000000013</v>
      </c>
      <c r="E83" s="292">
        <f t="shared" si="15"/>
        <v>201.87000000000015</v>
      </c>
      <c r="F83" s="292">
        <f t="shared" si="16"/>
        <v>198.50550000000015</v>
      </c>
      <c r="G83" s="302">
        <f t="shared" si="13"/>
        <v>1092566.4349463289</v>
      </c>
      <c r="H83" s="302">
        <f t="shared" si="17"/>
        <v>5503.9605197152123</v>
      </c>
      <c r="I83" s="293"/>
      <c r="J83" s="292">
        <f t="shared" si="18"/>
        <v>198.50550000000015</v>
      </c>
      <c r="K83" s="302">
        <f t="shared" si="19"/>
        <v>1092566.4349463289</v>
      </c>
      <c r="L83" s="300">
        <f t="shared" si="20"/>
        <v>0</v>
      </c>
      <c r="M83" s="163"/>
      <c r="N83" s="163"/>
      <c r="O83" s="45"/>
      <c r="P83" s="45"/>
    </row>
    <row r="84" spans="1:16">
      <c r="A84" s="292"/>
      <c r="B84" s="292"/>
      <c r="C84" s="292"/>
      <c r="D84" s="292"/>
      <c r="E84" s="292"/>
      <c r="F84" s="302"/>
      <c r="G84" s="302">
        <f>SUM(G74:G83)</f>
        <v>363434839.67850327</v>
      </c>
      <c r="H84" s="302">
        <f>SUM(H74:H83)</f>
        <v>2614718.3900527754</v>
      </c>
      <c r="I84" s="293"/>
      <c r="J84" s="292"/>
      <c r="K84" s="302">
        <f>SUM(K74:K83)</f>
        <v>363434839.67850327</v>
      </c>
      <c r="L84" s="302">
        <f>SUM(L74:L83)</f>
        <v>0</v>
      </c>
      <c r="M84" s="163"/>
      <c r="N84" s="163"/>
      <c r="O84" s="45"/>
      <c r="P84" s="45"/>
    </row>
    <row r="85" spans="1:16">
      <c r="A85" s="292" t="s">
        <v>29</v>
      </c>
      <c r="B85" s="292">
        <f>B12</f>
        <v>0.02</v>
      </c>
      <c r="C85" s="292"/>
      <c r="D85" s="292"/>
      <c r="E85" s="292"/>
      <c r="F85" s="292"/>
      <c r="G85" s="292"/>
      <c r="H85" s="292"/>
      <c r="I85" s="293"/>
      <c r="J85" s="292"/>
      <c r="K85" s="300"/>
      <c r="L85" s="302"/>
      <c r="M85" s="163"/>
      <c r="N85" s="163"/>
      <c r="O85" s="45"/>
      <c r="P85" s="45"/>
    </row>
    <row r="86" spans="1:16">
      <c r="A86" s="295" t="s">
        <v>30</v>
      </c>
      <c r="B86" s="305">
        <f>F22</f>
        <v>2614718.3900527754</v>
      </c>
      <c r="C86" s="292"/>
      <c r="D86" s="292"/>
      <c r="E86" s="292"/>
      <c r="F86" s="292"/>
      <c r="G86" s="292"/>
      <c r="H86" s="292"/>
      <c r="I86" s="293"/>
      <c r="J86" s="292"/>
      <c r="K86" s="292"/>
      <c r="L86" s="292"/>
      <c r="M86" s="163"/>
      <c r="N86" s="163"/>
      <c r="O86" s="45"/>
      <c r="P86" s="45"/>
    </row>
    <row r="87" spans="1:16">
      <c r="A87" s="295" t="s">
        <v>37</v>
      </c>
      <c r="B87" s="292">
        <f>G84/H84</f>
        <v>138.99578672071362</v>
      </c>
      <c r="C87" s="292"/>
      <c r="D87" s="292"/>
      <c r="E87" s="292"/>
      <c r="F87" s="292"/>
      <c r="G87" s="292"/>
      <c r="H87" s="292"/>
      <c r="I87" s="293"/>
      <c r="J87" s="292"/>
      <c r="K87" s="292"/>
      <c r="L87" s="292"/>
      <c r="M87" s="163"/>
      <c r="N87" s="163"/>
      <c r="O87" s="45"/>
      <c r="P87" s="45"/>
    </row>
    <row r="88" spans="1:16">
      <c r="A88" s="295" t="s">
        <v>43</v>
      </c>
      <c r="B88" s="292">
        <v>1</v>
      </c>
      <c r="C88" s="292"/>
      <c r="D88" s="292"/>
      <c r="E88" s="292"/>
      <c r="F88" s="292"/>
      <c r="G88" s="292"/>
      <c r="H88" s="292"/>
      <c r="I88" s="293"/>
      <c r="J88" s="292"/>
      <c r="K88" s="292"/>
      <c r="L88" s="292"/>
      <c r="M88" s="163"/>
      <c r="N88" s="163"/>
      <c r="O88" s="45"/>
      <c r="P88" s="45"/>
    </row>
    <row r="89" spans="1:16">
      <c r="A89" s="295" t="s">
        <v>44</v>
      </c>
      <c r="B89" s="302">
        <f>G84*360</f>
        <v>130836542284.26118</v>
      </c>
      <c r="C89" s="292"/>
      <c r="D89" s="292"/>
      <c r="E89" s="292"/>
      <c r="F89" s="292"/>
      <c r="G89" s="292"/>
      <c r="H89" s="292"/>
      <c r="I89" s="293"/>
      <c r="J89" s="292"/>
      <c r="K89" s="292"/>
      <c r="L89" s="292"/>
      <c r="M89" s="163"/>
      <c r="N89" s="163"/>
      <c r="O89" s="45"/>
      <c r="P89" s="45"/>
    </row>
    <row r="90" spans="1:16">
      <c r="A90" s="295" t="s">
        <v>40</v>
      </c>
      <c r="B90" s="292">
        <f>K84/H84</f>
        <v>138.99578672071362</v>
      </c>
      <c r="C90" s="292"/>
      <c r="D90" s="292"/>
      <c r="E90" s="292"/>
      <c r="F90" s="292"/>
      <c r="G90" s="292"/>
      <c r="H90" s="292"/>
      <c r="I90" s="293"/>
      <c r="J90" s="292"/>
      <c r="K90" s="292"/>
      <c r="L90" s="292"/>
      <c r="M90" s="163"/>
      <c r="N90" s="163"/>
      <c r="O90" s="45"/>
      <c r="P90" s="45"/>
    </row>
    <row r="91" spans="1:16">
      <c r="A91" s="295" t="s">
        <v>42</v>
      </c>
      <c r="B91" s="306">
        <f>K84/G84-1</f>
        <v>0</v>
      </c>
      <c r="C91" s="292"/>
      <c r="D91" s="292"/>
      <c r="E91" s="292"/>
      <c r="F91" s="292"/>
      <c r="G91" s="292"/>
      <c r="H91" s="292"/>
      <c r="I91" s="293"/>
      <c r="J91" s="292"/>
      <c r="K91" s="292"/>
      <c r="L91" s="292"/>
      <c r="M91" s="163"/>
      <c r="N91" s="163"/>
      <c r="O91" s="45"/>
      <c r="P91" s="45"/>
    </row>
    <row r="92" spans="1:16">
      <c r="A92" s="163"/>
      <c r="B92" s="163"/>
      <c r="C92" s="163"/>
      <c r="D92" s="163"/>
      <c r="E92" s="163"/>
      <c r="F92" s="163"/>
      <c r="G92" s="163"/>
      <c r="H92" s="163"/>
      <c r="I92" s="293"/>
      <c r="J92" s="163"/>
      <c r="K92" s="163"/>
      <c r="L92" s="163"/>
      <c r="M92" s="163"/>
      <c r="N92" s="163"/>
      <c r="O92" s="45"/>
      <c r="P92" s="45"/>
    </row>
    <row r="93" spans="1:16">
      <c r="A93" s="163"/>
      <c r="B93" s="163"/>
      <c r="C93" s="163"/>
      <c r="D93" s="163"/>
      <c r="E93" s="163"/>
      <c r="F93" s="163"/>
      <c r="G93" s="163"/>
      <c r="H93" s="163"/>
      <c r="I93" s="293"/>
      <c r="J93" s="163"/>
      <c r="K93" s="163"/>
      <c r="L93" s="163"/>
      <c r="M93" s="163"/>
      <c r="N93" s="163"/>
      <c r="O93" s="45"/>
      <c r="P93" s="45"/>
    </row>
    <row r="94" spans="1:16">
      <c r="A94" s="291" t="s">
        <v>39</v>
      </c>
      <c r="B94" s="292"/>
      <c r="C94" s="292"/>
      <c r="D94" s="292"/>
      <c r="E94" s="292"/>
      <c r="F94" s="292"/>
      <c r="G94" s="292"/>
      <c r="H94" s="292"/>
      <c r="I94" s="293"/>
      <c r="J94" s="292"/>
      <c r="K94" s="292"/>
      <c r="L94" s="292"/>
      <c r="M94" s="163"/>
      <c r="N94" s="163"/>
      <c r="O94" s="45"/>
      <c r="P94" s="45"/>
    </row>
    <row r="95" spans="1:16" ht="28">
      <c r="A95" s="295" t="s">
        <v>27</v>
      </c>
      <c r="B95" s="296" t="s">
        <v>28</v>
      </c>
      <c r="C95" s="296" t="s">
        <v>33</v>
      </c>
      <c r="D95" s="296" t="s">
        <v>36</v>
      </c>
      <c r="E95" s="296" t="s">
        <v>32</v>
      </c>
      <c r="F95" s="296" t="s">
        <v>35</v>
      </c>
      <c r="G95" s="296" t="s">
        <v>34</v>
      </c>
      <c r="H95" s="296" t="s">
        <v>31</v>
      </c>
      <c r="I95" s="297"/>
      <c r="J95" s="295" t="s">
        <v>40</v>
      </c>
      <c r="K95" s="295" t="s">
        <v>41</v>
      </c>
      <c r="L95" s="295" t="s">
        <v>45</v>
      </c>
      <c r="M95" s="163"/>
      <c r="N95" s="163"/>
      <c r="O95" s="45"/>
      <c r="P95" s="45"/>
    </row>
    <row r="96" spans="1:16">
      <c r="A96" s="292">
        <v>0.1</v>
      </c>
      <c r="B96" s="292">
        <f t="shared" ref="B96:B105" si="23">A96^$B$12</f>
        <v>0.954992586021436</v>
      </c>
      <c r="C96" s="300">
        <f>$B$108*B96</f>
        <v>1173482.8122443811</v>
      </c>
      <c r="D96" s="292">
        <f>E83</f>
        <v>201.87000000000015</v>
      </c>
      <c r="E96" s="292">
        <f>D96+$D$52*$A$96*$B$110</f>
        <v>215.32800000000015</v>
      </c>
      <c r="F96" s="292">
        <f>AVERAGE(E96,D96)</f>
        <v>208.59900000000016</v>
      </c>
      <c r="G96" s="302">
        <f t="shared" ref="G96:G105" si="24">H96*F96</f>
        <v>244787341.15136585</v>
      </c>
      <c r="H96" s="302">
        <f>C96</f>
        <v>1173482.8122443811</v>
      </c>
      <c r="I96" s="293"/>
      <c r="J96" s="292">
        <f>IF(F96&lt;$J$50,$J$50,F96)</f>
        <v>208.59900000000016</v>
      </c>
      <c r="K96" s="302">
        <f>H96*J96</f>
        <v>244787341.15136585</v>
      </c>
      <c r="L96" s="300">
        <f>IF(J96&gt;F96,H96,0)</f>
        <v>0</v>
      </c>
      <c r="M96" s="163"/>
      <c r="N96" s="163"/>
      <c r="O96" s="45"/>
      <c r="P96" s="45"/>
    </row>
    <row r="97" spans="1:16">
      <c r="A97" s="292">
        <f>A96+0.1</f>
        <v>0.2</v>
      </c>
      <c r="B97" s="292">
        <f t="shared" si="23"/>
        <v>0.96832378572562983</v>
      </c>
      <c r="C97" s="300">
        <f t="shared" ref="C97:C105" si="25">$B$108*B97</f>
        <v>1189864.021845853</v>
      </c>
      <c r="D97" s="300">
        <f>E96</f>
        <v>215.32800000000015</v>
      </c>
      <c r="E97" s="292">
        <f t="shared" ref="E97:E105" si="26">D97+$D$52*$A$96*$B$110</f>
        <v>228.78600000000014</v>
      </c>
      <c r="F97" s="292">
        <f t="shared" ref="F97:F105" si="27">AVERAGE(E97,E96)</f>
        <v>222.05700000000013</v>
      </c>
      <c r="G97" s="302">
        <f t="shared" si="24"/>
        <v>3637562.2604740476</v>
      </c>
      <c r="H97" s="302">
        <f t="shared" ref="H97:H105" si="28">C97-C96</f>
        <v>16381.209601471899</v>
      </c>
      <c r="I97" s="293"/>
      <c r="J97" s="292">
        <f t="shared" ref="J97:J105" si="29">IF(F97&lt;$J$50,$J$50,F97)</f>
        <v>222.05700000000013</v>
      </c>
      <c r="K97" s="302">
        <f t="shared" ref="K97:K105" si="30">H97*J97</f>
        <v>3637562.2604740476</v>
      </c>
      <c r="L97" s="300">
        <f t="shared" ref="L97:L105" si="31">IF(J97&gt;F97,H97,0)</f>
        <v>0</v>
      </c>
      <c r="M97" s="163"/>
      <c r="N97" s="163"/>
      <c r="O97" s="45"/>
      <c r="P97" s="45"/>
    </row>
    <row r="98" spans="1:16">
      <c r="A98" s="292">
        <f t="shared" ref="A98:A105" si="32">A97+0.1</f>
        <v>0.30000000000000004</v>
      </c>
      <c r="B98" s="292">
        <f t="shared" si="23"/>
        <v>0.97620814099778364</v>
      </c>
      <c r="C98" s="300">
        <f t="shared" si="25"/>
        <v>1199552.2178935793</v>
      </c>
      <c r="D98" s="300">
        <f t="shared" ref="D98:D105" si="33">E97</f>
        <v>228.78600000000014</v>
      </c>
      <c r="E98" s="292">
        <f t="shared" si="26"/>
        <v>242.24400000000014</v>
      </c>
      <c r="F98" s="292">
        <f t="shared" si="27"/>
        <v>235.51500000000016</v>
      </c>
      <c r="G98" s="302">
        <f t="shared" si="24"/>
        <v>2281715.492180266</v>
      </c>
      <c r="H98" s="302">
        <f t="shared" si="28"/>
        <v>9688.1960477263201</v>
      </c>
      <c r="I98" s="293"/>
      <c r="J98" s="292">
        <f t="shared" si="29"/>
        <v>235.51500000000016</v>
      </c>
      <c r="K98" s="302">
        <f t="shared" si="30"/>
        <v>2281715.492180266</v>
      </c>
      <c r="L98" s="300">
        <f t="shared" si="31"/>
        <v>0</v>
      </c>
      <c r="M98" s="163"/>
      <c r="N98" s="163"/>
      <c r="O98" s="45"/>
      <c r="P98" s="45"/>
    </row>
    <row r="99" spans="1:16">
      <c r="A99" s="292">
        <f t="shared" si="32"/>
        <v>0.4</v>
      </c>
      <c r="B99" s="292">
        <f t="shared" si="23"/>
        <v>0.98184108204267129</v>
      </c>
      <c r="C99" s="300">
        <f t="shared" si="25"/>
        <v>1206473.904611693</v>
      </c>
      <c r="D99" s="300">
        <f t="shared" si="33"/>
        <v>242.24400000000014</v>
      </c>
      <c r="E99" s="292">
        <f t="shared" si="26"/>
        <v>255.70200000000014</v>
      </c>
      <c r="F99" s="292">
        <f t="shared" si="27"/>
        <v>248.97300000000013</v>
      </c>
      <c r="G99" s="302">
        <f t="shared" si="24"/>
        <v>1723313.1072689281</v>
      </c>
      <c r="H99" s="302">
        <f t="shared" si="28"/>
        <v>6921.6867181137204</v>
      </c>
      <c r="I99" s="293"/>
      <c r="J99" s="292">
        <f t="shared" si="29"/>
        <v>248.97300000000013</v>
      </c>
      <c r="K99" s="302">
        <f t="shared" si="30"/>
        <v>1723313.1072689281</v>
      </c>
      <c r="L99" s="300">
        <f t="shared" si="31"/>
        <v>0</v>
      </c>
      <c r="M99" s="163"/>
      <c r="N99" s="163"/>
      <c r="O99" s="45"/>
      <c r="P99" s="45"/>
    </row>
    <row r="100" spans="1:16">
      <c r="A100" s="292">
        <f t="shared" si="32"/>
        <v>0.5</v>
      </c>
      <c r="B100" s="292">
        <f t="shared" si="23"/>
        <v>0.9862327044933592</v>
      </c>
      <c r="C100" s="300">
        <f t="shared" si="25"/>
        <v>1211870.2747397781</v>
      </c>
      <c r="D100" s="300">
        <f t="shared" si="33"/>
        <v>255.70200000000014</v>
      </c>
      <c r="E100" s="292">
        <f t="shared" si="26"/>
        <v>269.16000000000014</v>
      </c>
      <c r="F100" s="292">
        <f t="shared" si="27"/>
        <v>262.43100000000015</v>
      </c>
      <c r="G100" s="302">
        <f t="shared" si="24"/>
        <v>1416174.8090835118</v>
      </c>
      <c r="H100" s="302">
        <f t="shared" si="28"/>
        <v>5396.3701280851383</v>
      </c>
      <c r="I100" s="293"/>
      <c r="J100" s="292">
        <f t="shared" si="29"/>
        <v>262.43100000000015</v>
      </c>
      <c r="K100" s="302">
        <f t="shared" si="30"/>
        <v>1416174.8090835118</v>
      </c>
      <c r="L100" s="300">
        <f t="shared" si="31"/>
        <v>0</v>
      </c>
      <c r="M100" s="163"/>
      <c r="N100" s="163"/>
      <c r="O100" s="45"/>
      <c r="P100" s="45"/>
    </row>
    <row r="101" spans="1:16">
      <c r="A101" s="292">
        <f t="shared" si="32"/>
        <v>0.6</v>
      </c>
      <c r="B101" s="292">
        <f t="shared" si="23"/>
        <v>0.98983549881290411</v>
      </c>
      <c r="C101" s="300">
        <f t="shared" si="25"/>
        <v>1216297.3428363495</v>
      </c>
      <c r="D101" s="300">
        <f t="shared" si="33"/>
        <v>269.16000000000014</v>
      </c>
      <c r="E101" s="292">
        <f t="shared" si="26"/>
        <v>282.61800000000017</v>
      </c>
      <c r="F101" s="292">
        <f t="shared" si="27"/>
        <v>275.88900000000012</v>
      </c>
      <c r="G101" s="302">
        <f t="shared" si="24"/>
        <v>1221379.390094979</v>
      </c>
      <c r="H101" s="302">
        <f t="shared" si="28"/>
        <v>4427.0680965713691</v>
      </c>
      <c r="I101" s="293"/>
      <c r="J101" s="292">
        <f t="shared" si="29"/>
        <v>275.88900000000012</v>
      </c>
      <c r="K101" s="302">
        <f t="shared" si="30"/>
        <v>1221379.390094979</v>
      </c>
      <c r="L101" s="300">
        <f t="shared" si="31"/>
        <v>0</v>
      </c>
      <c r="M101" s="163"/>
      <c r="N101" s="163"/>
      <c r="O101" s="45"/>
      <c r="P101" s="45"/>
    </row>
    <row r="102" spans="1:16">
      <c r="A102" s="292">
        <f t="shared" si="32"/>
        <v>0.7</v>
      </c>
      <c r="B102" s="292">
        <f t="shared" si="23"/>
        <v>0.99289188413193019</v>
      </c>
      <c r="C102" s="300">
        <f t="shared" si="25"/>
        <v>1220052.9904633276</v>
      </c>
      <c r="D102" s="300">
        <f t="shared" si="33"/>
        <v>282.61800000000017</v>
      </c>
      <c r="E102" s="292">
        <f t="shared" si="26"/>
        <v>296.07600000000019</v>
      </c>
      <c r="F102" s="292">
        <f t="shared" si="27"/>
        <v>289.34700000000021</v>
      </c>
      <c r="G102" s="302">
        <f t="shared" si="24"/>
        <v>1086685.3739232367</v>
      </c>
      <c r="H102" s="302">
        <f t="shared" si="28"/>
        <v>3755.6476269781124</v>
      </c>
      <c r="I102" s="293"/>
      <c r="J102" s="292">
        <f t="shared" si="29"/>
        <v>289.34700000000021</v>
      </c>
      <c r="K102" s="302">
        <f t="shared" si="30"/>
        <v>1086685.3739232367</v>
      </c>
      <c r="L102" s="300">
        <f t="shared" si="31"/>
        <v>0</v>
      </c>
      <c r="M102" s="163"/>
      <c r="N102" s="163"/>
      <c r="O102" s="45"/>
      <c r="P102" s="45"/>
    </row>
    <row r="103" spans="1:16">
      <c r="A103" s="292">
        <f t="shared" si="32"/>
        <v>0.79999999999999993</v>
      </c>
      <c r="B103" s="292">
        <f t="shared" si="23"/>
        <v>0.9955470727844663</v>
      </c>
      <c r="C103" s="300">
        <f t="shared" si="25"/>
        <v>1223315.6527003176</v>
      </c>
      <c r="D103" s="300">
        <f t="shared" si="33"/>
        <v>296.07600000000019</v>
      </c>
      <c r="E103" s="292">
        <f t="shared" si="26"/>
        <v>309.53400000000022</v>
      </c>
      <c r="F103" s="292">
        <f t="shared" si="27"/>
        <v>302.80500000000018</v>
      </c>
      <c r="G103" s="302">
        <f t="shared" si="24"/>
        <v>987950.43867173977</v>
      </c>
      <c r="H103" s="302">
        <f t="shared" si="28"/>
        <v>3262.6622369899414</v>
      </c>
      <c r="I103" s="293"/>
      <c r="J103" s="292">
        <f t="shared" si="29"/>
        <v>302.80500000000018</v>
      </c>
      <c r="K103" s="302">
        <f t="shared" si="30"/>
        <v>987950.43867173977</v>
      </c>
      <c r="L103" s="300">
        <f t="shared" si="31"/>
        <v>0</v>
      </c>
      <c r="M103" s="163"/>
      <c r="N103" s="163"/>
      <c r="O103" s="45"/>
      <c r="P103" s="45"/>
    </row>
    <row r="104" spans="1:16">
      <c r="A104" s="292">
        <f t="shared" si="32"/>
        <v>0.89999999999999991</v>
      </c>
      <c r="B104" s="292">
        <f t="shared" si="23"/>
        <v>0.9978950082958632</v>
      </c>
      <c r="C104" s="300">
        <f t="shared" si="25"/>
        <v>1226200.766163199</v>
      </c>
      <c r="D104" s="300">
        <f t="shared" si="33"/>
        <v>309.53400000000022</v>
      </c>
      <c r="E104" s="292">
        <f t="shared" si="26"/>
        <v>322.99200000000025</v>
      </c>
      <c r="F104" s="292">
        <f t="shared" si="27"/>
        <v>316.26300000000026</v>
      </c>
      <c r="G104" s="302">
        <f t="shared" si="24"/>
        <v>912454.63911126659</v>
      </c>
      <c r="H104" s="302">
        <f t="shared" si="28"/>
        <v>2885.1134628814179</v>
      </c>
      <c r="I104" s="293"/>
      <c r="J104" s="292">
        <f t="shared" si="29"/>
        <v>316.26300000000026</v>
      </c>
      <c r="K104" s="302">
        <f t="shared" si="30"/>
        <v>912454.63911126659</v>
      </c>
      <c r="L104" s="300">
        <f t="shared" si="31"/>
        <v>0</v>
      </c>
      <c r="M104" s="163"/>
      <c r="N104" s="163"/>
      <c r="O104" s="45"/>
      <c r="P104" s="45"/>
    </row>
    <row r="105" spans="1:16">
      <c r="A105" s="292">
        <f t="shared" si="32"/>
        <v>0.99999999999999989</v>
      </c>
      <c r="B105" s="292">
        <f t="shared" si="23"/>
        <v>1</v>
      </c>
      <c r="C105" s="300">
        <f t="shared" si="25"/>
        <v>1228787.353348145</v>
      </c>
      <c r="D105" s="300">
        <f t="shared" si="33"/>
        <v>322.99200000000025</v>
      </c>
      <c r="E105" s="292">
        <f t="shared" si="26"/>
        <v>336.45000000000027</v>
      </c>
      <c r="F105" s="292">
        <f t="shared" si="27"/>
        <v>329.72100000000023</v>
      </c>
      <c r="G105" s="302">
        <f t="shared" si="24"/>
        <v>852852.1132075981</v>
      </c>
      <c r="H105" s="302">
        <f t="shared" si="28"/>
        <v>2586.5871849460527</v>
      </c>
      <c r="I105" s="293"/>
      <c r="J105" s="292">
        <f t="shared" si="29"/>
        <v>329.72100000000023</v>
      </c>
      <c r="K105" s="302">
        <f t="shared" si="30"/>
        <v>852852.1132075981</v>
      </c>
      <c r="L105" s="300">
        <f t="shared" si="31"/>
        <v>0</v>
      </c>
      <c r="M105" s="163"/>
      <c r="N105" s="163"/>
      <c r="O105" s="45"/>
      <c r="P105" s="45"/>
    </row>
    <row r="106" spans="1:16">
      <c r="A106" s="292"/>
      <c r="B106" s="292"/>
      <c r="C106" s="292"/>
      <c r="D106" s="292"/>
      <c r="E106" s="292"/>
      <c r="F106" s="302"/>
      <c r="G106" s="302">
        <f>SUM(G96:G105)</f>
        <v>258907428.77538145</v>
      </c>
      <c r="H106" s="302">
        <f>SUM(H96:H105)</f>
        <v>1228787.353348145</v>
      </c>
      <c r="I106" s="293"/>
      <c r="J106" s="292"/>
      <c r="K106" s="302">
        <f>SUM(K96:K105)</f>
        <v>258907428.77538145</v>
      </c>
      <c r="L106" s="302">
        <f>SUM(L96:L105)</f>
        <v>0</v>
      </c>
      <c r="M106" s="163"/>
      <c r="N106" s="163"/>
      <c r="O106" s="45"/>
      <c r="P106" s="45"/>
    </row>
    <row r="107" spans="1:16">
      <c r="A107" s="292" t="s">
        <v>29</v>
      </c>
      <c r="B107" s="292">
        <f>B85</f>
        <v>0.02</v>
      </c>
      <c r="C107" s="292"/>
      <c r="D107" s="292"/>
      <c r="E107" s="292"/>
      <c r="F107" s="292"/>
      <c r="G107" s="292"/>
      <c r="H107" s="292"/>
      <c r="I107" s="293"/>
      <c r="J107" s="292"/>
      <c r="K107" s="300"/>
      <c r="L107" s="302"/>
      <c r="M107" s="163"/>
      <c r="N107" s="163"/>
      <c r="O107" s="45"/>
      <c r="P107" s="45"/>
    </row>
    <row r="108" spans="1:16">
      <c r="A108" s="295" t="s">
        <v>30</v>
      </c>
      <c r="B108" s="305">
        <f>G22</f>
        <v>1228787.353348145</v>
      </c>
      <c r="C108" s="292"/>
      <c r="D108" s="292"/>
      <c r="E108" s="292"/>
      <c r="F108" s="292"/>
      <c r="G108" s="292"/>
      <c r="H108" s="292"/>
      <c r="I108" s="293"/>
      <c r="J108" s="292"/>
      <c r="K108" s="292"/>
      <c r="L108" s="292"/>
      <c r="M108" s="163"/>
      <c r="N108" s="163"/>
      <c r="O108" s="45"/>
      <c r="P108" s="45"/>
    </row>
    <row r="109" spans="1:16">
      <c r="A109" s="295" t="s">
        <v>37</v>
      </c>
      <c r="B109" s="292">
        <f>G106/H106</f>
        <v>210.70157344142746</v>
      </c>
      <c r="C109" s="292"/>
      <c r="D109" s="292"/>
      <c r="E109" s="292"/>
      <c r="F109" s="292"/>
      <c r="G109" s="292"/>
      <c r="H109" s="292"/>
      <c r="I109" s="293"/>
      <c r="J109" s="292"/>
      <c r="K109" s="292"/>
      <c r="L109" s="292"/>
      <c r="M109" s="163"/>
      <c r="N109" s="163"/>
      <c r="O109" s="45"/>
      <c r="P109" s="45"/>
    </row>
    <row r="110" spans="1:16">
      <c r="A110" s="295" t="s">
        <v>43</v>
      </c>
      <c r="B110" s="292">
        <v>2</v>
      </c>
      <c r="C110" s="292"/>
      <c r="D110" s="292"/>
      <c r="E110" s="292"/>
      <c r="F110" s="292"/>
      <c r="G110" s="292"/>
      <c r="H110" s="292"/>
      <c r="I110" s="293"/>
      <c r="J110" s="292"/>
      <c r="K110" s="292"/>
      <c r="L110" s="292"/>
      <c r="M110" s="163"/>
      <c r="N110" s="163"/>
      <c r="O110" s="45"/>
      <c r="P110" s="45"/>
    </row>
    <row r="111" spans="1:16">
      <c r="A111" s="295" t="s">
        <v>44</v>
      </c>
      <c r="B111" s="302">
        <f>G106*360</f>
        <v>93206674359.137314</v>
      </c>
      <c r="C111" s="292"/>
      <c r="D111" s="292"/>
      <c r="E111" s="292"/>
      <c r="F111" s="292"/>
      <c r="G111" s="292"/>
      <c r="H111" s="292"/>
      <c r="I111" s="293"/>
      <c r="J111" s="292"/>
      <c r="K111" s="292"/>
      <c r="L111" s="292"/>
      <c r="M111" s="163"/>
      <c r="N111" s="163"/>
      <c r="O111" s="45"/>
      <c r="P111" s="45"/>
    </row>
    <row r="112" spans="1:16">
      <c r="A112" s="295" t="s">
        <v>40</v>
      </c>
      <c r="B112" s="292">
        <f>K106/H106</f>
        <v>210.70157344142746</v>
      </c>
      <c r="C112" s="292"/>
      <c r="D112" s="292"/>
      <c r="E112" s="292"/>
      <c r="F112" s="292"/>
      <c r="G112" s="292"/>
      <c r="H112" s="292"/>
      <c r="I112" s="293"/>
      <c r="J112" s="292"/>
      <c r="K112" s="292"/>
      <c r="L112" s="292"/>
      <c r="M112" s="163"/>
      <c r="N112" s="163"/>
      <c r="O112" s="45"/>
      <c r="P112" s="45"/>
    </row>
    <row r="113" spans="1:16">
      <c r="A113" s="295" t="s">
        <v>42</v>
      </c>
      <c r="B113" s="306">
        <f>K106/G106-1</f>
        <v>0</v>
      </c>
      <c r="C113" s="292"/>
      <c r="D113" s="292"/>
      <c r="E113" s="292"/>
      <c r="F113" s="292"/>
      <c r="G113" s="292"/>
      <c r="H113" s="292"/>
      <c r="I113" s="293"/>
      <c r="J113" s="292"/>
      <c r="K113" s="292"/>
      <c r="L113" s="292"/>
      <c r="M113" s="163"/>
      <c r="N113" s="163"/>
      <c r="O113" s="45"/>
      <c r="P113" s="45"/>
    </row>
    <row r="114" spans="1:16">
      <c r="A114" s="163"/>
      <c r="B114" s="163"/>
      <c r="C114" s="163"/>
      <c r="D114" s="163"/>
      <c r="E114" s="163"/>
      <c r="F114" s="163"/>
      <c r="G114" s="163"/>
      <c r="H114" s="163"/>
      <c r="I114" s="293"/>
      <c r="J114" s="163"/>
      <c r="K114" s="163"/>
      <c r="L114" s="163"/>
      <c r="M114" s="163"/>
      <c r="N114" s="163"/>
      <c r="O114" s="45"/>
      <c r="P114" s="45"/>
    </row>
    <row r="115" spans="1:16">
      <c r="A115" s="163"/>
      <c r="B115" s="163"/>
      <c r="C115" s="163"/>
      <c r="D115" s="163"/>
      <c r="E115" s="163"/>
      <c r="F115" s="163"/>
      <c r="G115" s="163"/>
      <c r="H115" s="163"/>
      <c r="I115" s="293"/>
      <c r="J115" s="163"/>
      <c r="K115" s="163"/>
      <c r="L115" s="163"/>
      <c r="M115" s="163"/>
      <c r="N115" s="163"/>
      <c r="O115" s="45"/>
      <c r="P115" s="45"/>
    </row>
    <row r="116" spans="1:16">
      <c r="A116" s="163"/>
      <c r="B116" s="163"/>
      <c r="C116" s="163"/>
      <c r="D116" s="163"/>
      <c r="E116" s="163"/>
      <c r="F116" s="163"/>
      <c r="G116" s="163"/>
      <c r="H116" s="163"/>
      <c r="I116" s="293"/>
      <c r="J116" s="163"/>
      <c r="K116" s="163"/>
      <c r="L116" s="163"/>
      <c r="M116" s="163"/>
      <c r="N116" s="163"/>
      <c r="O116" s="45"/>
      <c r="P116" s="45"/>
    </row>
    <row r="117" spans="1:16">
      <c r="A117" s="291" t="s">
        <v>46</v>
      </c>
      <c r="B117" s="292"/>
      <c r="C117" s="292"/>
      <c r="D117" s="292"/>
      <c r="E117" s="292"/>
      <c r="F117" s="292"/>
      <c r="G117" s="292"/>
      <c r="H117" s="292"/>
      <c r="I117" s="293"/>
      <c r="J117" s="292"/>
      <c r="K117" s="292"/>
      <c r="L117" s="292"/>
      <c r="M117" s="163"/>
      <c r="N117" s="163"/>
      <c r="O117" s="45"/>
      <c r="P117" s="45"/>
    </row>
    <row r="118" spans="1:16" ht="28">
      <c r="A118" s="295" t="s">
        <v>27</v>
      </c>
      <c r="B118" s="296" t="s">
        <v>28</v>
      </c>
      <c r="C118" s="296" t="s">
        <v>33</v>
      </c>
      <c r="D118" s="296" t="s">
        <v>36</v>
      </c>
      <c r="E118" s="296" t="s">
        <v>32</v>
      </c>
      <c r="F118" s="296" t="s">
        <v>35</v>
      </c>
      <c r="G118" s="296" t="s">
        <v>34</v>
      </c>
      <c r="H118" s="296" t="s">
        <v>31</v>
      </c>
      <c r="I118" s="297"/>
      <c r="J118" s="295" t="s">
        <v>40</v>
      </c>
      <c r="K118" s="295" t="s">
        <v>41</v>
      </c>
      <c r="L118" s="295" t="s">
        <v>45</v>
      </c>
      <c r="M118" s="163"/>
      <c r="N118" s="163"/>
      <c r="O118" s="45"/>
      <c r="P118" s="45"/>
    </row>
    <row r="119" spans="1:16">
      <c r="A119" s="292">
        <v>0.1</v>
      </c>
      <c r="B119" s="292">
        <f t="shared" ref="B119:B128" si="34">A119^$B$130</f>
        <v>0.954992586021436</v>
      </c>
      <c r="C119" s="300">
        <f>$B$131*B119</f>
        <v>488118.00736489065</v>
      </c>
      <c r="D119" s="292">
        <f>E105</f>
        <v>336.45000000000027</v>
      </c>
      <c r="E119" s="292">
        <f>D119+$D$52*$A$119*$B$133</f>
        <v>471.03000000000031</v>
      </c>
      <c r="F119" s="292">
        <f>AVERAGE(E119,D119)</f>
        <v>403.74000000000029</v>
      </c>
      <c r="G119" s="302">
        <f t="shared" ref="G119:G128" si="35">H119*F119</f>
        <v>197072764.29350111</v>
      </c>
      <c r="H119" s="302">
        <f>C119</f>
        <v>488118.00736489065</v>
      </c>
      <c r="I119" s="293"/>
      <c r="J119" s="292">
        <f>IF(F119&lt;$J$50,$J$50,F119)</f>
        <v>403.74000000000029</v>
      </c>
      <c r="K119" s="302">
        <f>H119*J119</f>
        <v>197072764.29350111</v>
      </c>
      <c r="L119" s="300">
        <f>IF(J119&gt;F119,H119,0)</f>
        <v>0</v>
      </c>
      <c r="M119" s="163"/>
      <c r="N119" s="163"/>
      <c r="O119" s="45"/>
      <c r="P119" s="45"/>
    </row>
    <row r="120" spans="1:16">
      <c r="A120" s="292">
        <f>A119+0.1</f>
        <v>0.2</v>
      </c>
      <c r="B120" s="292">
        <f t="shared" si="34"/>
        <v>0.96832378572562983</v>
      </c>
      <c r="C120" s="300">
        <f t="shared" ref="C120:C128" si="36">$B$131*B120</f>
        <v>494931.88082385011</v>
      </c>
      <c r="D120" s="300">
        <f>E119</f>
        <v>471.03000000000031</v>
      </c>
      <c r="E120" s="292">
        <f t="shared" ref="E120:E128" si="37">D120+$D$52*$A$119*$B$133</f>
        <v>605.61000000000035</v>
      </c>
      <c r="F120" s="292">
        <f t="shared" ref="F120:F128" si="38">AVERAGE(E120,E119)</f>
        <v>538.32000000000039</v>
      </c>
      <c r="G120" s="302">
        <f t="shared" si="35"/>
        <v>3668044.3604270555</v>
      </c>
      <c r="H120" s="302">
        <f t="shared" ref="H120:H128" si="39">C120-C119</f>
        <v>6813.8734589594533</v>
      </c>
      <c r="I120" s="293"/>
      <c r="J120" s="292">
        <f t="shared" ref="J120:J128" si="40">IF(F120&lt;$J$50,$J$50,F120)</f>
        <v>538.32000000000039</v>
      </c>
      <c r="K120" s="302">
        <f t="shared" ref="K120:K128" si="41">H120*J120</f>
        <v>3668044.3604270555</v>
      </c>
      <c r="L120" s="300">
        <f t="shared" ref="L120:L128" si="42">IF(J120&gt;F120,H120,0)</f>
        <v>0</v>
      </c>
      <c r="M120" s="163"/>
      <c r="N120" s="163"/>
      <c r="O120" s="45"/>
      <c r="P120" s="45"/>
    </row>
    <row r="121" spans="1:16">
      <c r="A121" s="292">
        <f t="shared" ref="A121:A128" si="43">A120+0.1</f>
        <v>0.30000000000000004</v>
      </c>
      <c r="B121" s="292">
        <f t="shared" si="34"/>
        <v>0.97620814099778364</v>
      </c>
      <c r="C121" s="300">
        <f t="shared" si="36"/>
        <v>498961.75062716834</v>
      </c>
      <c r="D121" s="300">
        <f t="shared" ref="D121:D128" si="44">E120</f>
        <v>605.61000000000035</v>
      </c>
      <c r="E121" s="292">
        <f t="shared" si="37"/>
        <v>740.1900000000004</v>
      </c>
      <c r="F121" s="292">
        <f t="shared" si="38"/>
        <v>672.90000000000032</v>
      </c>
      <c r="G121" s="302">
        <f t="shared" si="35"/>
        <v>2711699.3906528382</v>
      </c>
      <c r="H121" s="302">
        <f t="shared" si="39"/>
        <v>4029.86980331823</v>
      </c>
      <c r="I121" s="293"/>
      <c r="J121" s="292">
        <f t="shared" si="40"/>
        <v>672.90000000000032</v>
      </c>
      <c r="K121" s="302">
        <f t="shared" si="41"/>
        <v>2711699.3906528382</v>
      </c>
      <c r="L121" s="300">
        <f t="shared" si="42"/>
        <v>0</v>
      </c>
      <c r="M121" s="163"/>
      <c r="N121" s="163"/>
      <c r="O121" s="45"/>
      <c r="P121" s="45"/>
    </row>
    <row r="122" spans="1:16">
      <c r="A122" s="292">
        <f t="shared" si="43"/>
        <v>0.4</v>
      </c>
      <c r="B122" s="292">
        <f t="shared" si="34"/>
        <v>0.98184108204267129</v>
      </c>
      <c r="C122" s="300">
        <f t="shared" si="36"/>
        <v>501840.87241165177</v>
      </c>
      <c r="D122" s="300">
        <f t="shared" si="44"/>
        <v>740.1900000000004</v>
      </c>
      <c r="E122" s="292">
        <f t="shared" si="37"/>
        <v>874.77000000000044</v>
      </c>
      <c r="F122" s="292">
        <f t="shared" si="38"/>
        <v>807.48000000000047</v>
      </c>
      <c r="G122" s="302">
        <f t="shared" si="35"/>
        <v>2324833.2585346829</v>
      </c>
      <c r="H122" s="302">
        <f t="shared" si="39"/>
        <v>2879.1217844834318</v>
      </c>
      <c r="I122" s="293"/>
      <c r="J122" s="292">
        <f t="shared" si="40"/>
        <v>807.48000000000047</v>
      </c>
      <c r="K122" s="302">
        <f t="shared" si="41"/>
        <v>2324833.2585346829</v>
      </c>
      <c r="L122" s="300">
        <f t="shared" si="42"/>
        <v>0</v>
      </c>
      <c r="M122" s="163"/>
      <c r="N122" s="163"/>
      <c r="O122" s="45"/>
      <c r="P122" s="45"/>
    </row>
    <row r="123" spans="1:16">
      <c r="A123" s="292">
        <f t="shared" si="43"/>
        <v>0.5</v>
      </c>
      <c r="B123" s="292">
        <f t="shared" si="34"/>
        <v>0.9862327044933592</v>
      </c>
      <c r="C123" s="300">
        <f t="shared" si="36"/>
        <v>504085.52858082601</v>
      </c>
      <c r="D123" s="300">
        <f t="shared" si="44"/>
        <v>874.77000000000044</v>
      </c>
      <c r="E123" s="292">
        <f t="shared" si="37"/>
        <v>1009.3500000000005</v>
      </c>
      <c r="F123" s="292">
        <f t="shared" si="38"/>
        <v>942.0600000000004</v>
      </c>
      <c r="G123" s="302">
        <f t="shared" si="35"/>
        <v>2114600.7907322845</v>
      </c>
      <c r="H123" s="302">
        <f t="shared" si="39"/>
        <v>2244.656169174239</v>
      </c>
      <c r="I123" s="293"/>
      <c r="J123" s="292">
        <f t="shared" si="40"/>
        <v>942.0600000000004</v>
      </c>
      <c r="K123" s="302">
        <f t="shared" si="41"/>
        <v>2114600.7907322845</v>
      </c>
      <c r="L123" s="300">
        <f t="shared" si="42"/>
        <v>0</v>
      </c>
      <c r="M123" s="163"/>
      <c r="N123" s="163"/>
      <c r="O123" s="45"/>
      <c r="P123" s="45"/>
    </row>
    <row r="124" spans="1:16">
      <c r="A124" s="292">
        <f t="shared" si="43"/>
        <v>0.6</v>
      </c>
      <c r="B124" s="292">
        <f t="shared" si="34"/>
        <v>0.98983549881290411</v>
      </c>
      <c r="C124" s="300">
        <f t="shared" si="36"/>
        <v>505926.99710104585</v>
      </c>
      <c r="D124" s="300">
        <f t="shared" si="44"/>
        <v>1009.3500000000005</v>
      </c>
      <c r="E124" s="292">
        <f t="shared" si="37"/>
        <v>1143.9300000000005</v>
      </c>
      <c r="F124" s="292">
        <f t="shared" si="38"/>
        <v>1076.6400000000006</v>
      </c>
      <c r="G124" s="302">
        <f t="shared" si="35"/>
        <v>1982598.6676094951</v>
      </c>
      <c r="H124" s="302">
        <f t="shared" si="39"/>
        <v>1841.4685202198452</v>
      </c>
      <c r="I124" s="293"/>
      <c r="J124" s="292">
        <f t="shared" si="40"/>
        <v>1076.6400000000006</v>
      </c>
      <c r="K124" s="302">
        <f t="shared" si="41"/>
        <v>1982598.6676094951</v>
      </c>
      <c r="L124" s="300">
        <f t="shared" si="42"/>
        <v>0</v>
      </c>
      <c r="M124" s="163"/>
      <c r="N124" s="163"/>
      <c r="O124" s="45"/>
      <c r="P124" s="45"/>
    </row>
    <row r="125" spans="1:16">
      <c r="A125" s="292">
        <f t="shared" si="43"/>
        <v>0.7</v>
      </c>
      <c r="B125" s="292">
        <f t="shared" si="34"/>
        <v>0.99289188413193019</v>
      </c>
      <c r="C125" s="300">
        <f t="shared" si="36"/>
        <v>507489.18379599979</v>
      </c>
      <c r="D125" s="300">
        <f t="shared" si="44"/>
        <v>1143.9300000000005</v>
      </c>
      <c r="E125" s="292">
        <f t="shared" si="37"/>
        <v>1278.5100000000004</v>
      </c>
      <c r="F125" s="292">
        <f t="shared" si="38"/>
        <v>1211.2200000000005</v>
      </c>
      <c r="G125" s="302">
        <f t="shared" si="35"/>
        <v>1892151.7686621118</v>
      </c>
      <c r="H125" s="302">
        <f t="shared" si="39"/>
        <v>1562.1866949539399</v>
      </c>
      <c r="I125" s="293"/>
      <c r="J125" s="292">
        <f t="shared" si="40"/>
        <v>1211.2200000000005</v>
      </c>
      <c r="K125" s="302">
        <f t="shared" si="41"/>
        <v>1892151.7686621118</v>
      </c>
      <c r="L125" s="300">
        <f t="shared" si="42"/>
        <v>0</v>
      </c>
      <c r="M125" s="163"/>
      <c r="N125" s="163"/>
      <c r="O125" s="45"/>
      <c r="P125" s="45"/>
    </row>
    <row r="126" spans="1:16">
      <c r="A126" s="292">
        <f t="shared" si="43"/>
        <v>0.79999999999999993</v>
      </c>
      <c r="B126" s="292">
        <f>A126^$B$130</f>
        <v>0.9955470727844663</v>
      </c>
      <c r="C126" s="300">
        <f t="shared" si="36"/>
        <v>508846.30992789281</v>
      </c>
      <c r="D126" s="300">
        <f t="shared" si="44"/>
        <v>1278.5100000000004</v>
      </c>
      <c r="E126" s="292">
        <f t="shared" si="37"/>
        <v>1413.0900000000004</v>
      </c>
      <c r="F126" s="292">
        <f t="shared" si="38"/>
        <v>1345.8000000000004</v>
      </c>
      <c r="G126" s="302">
        <f t="shared" si="35"/>
        <v>1826420.3483016258</v>
      </c>
      <c r="H126" s="302">
        <f t="shared" si="39"/>
        <v>1357.1261318930192</v>
      </c>
      <c r="I126" s="293"/>
      <c r="J126" s="292">
        <f t="shared" si="40"/>
        <v>1345.8000000000004</v>
      </c>
      <c r="K126" s="302">
        <f t="shared" si="41"/>
        <v>1826420.3483016258</v>
      </c>
      <c r="L126" s="300">
        <f t="shared" si="42"/>
        <v>0</v>
      </c>
      <c r="M126" s="163"/>
      <c r="N126" s="163"/>
      <c r="O126" s="45"/>
      <c r="P126" s="45"/>
    </row>
    <row r="127" spans="1:16">
      <c r="A127" s="292">
        <f t="shared" si="43"/>
        <v>0.89999999999999991</v>
      </c>
      <c r="B127" s="292">
        <f t="shared" si="34"/>
        <v>0.9978950082958632</v>
      </c>
      <c r="C127" s="300">
        <f t="shared" si="36"/>
        <v>510046.39212750329</v>
      </c>
      <c r="D127" s="300">
        <f t="shared" si="44"/>
        <v>1413.0900000000004</v>
      </c>
      <c r="E127" s="292">
        <f t="shared" si="37"/>
        <v>1547.6700000000003</v>
      </c>
      <c r="F127" s="292">
        <f t="shared" si="38"/>
        <v>1480.3800000000003</v>
      </c>
      <c r="G127" s="302">
        <f t="shared" si="35"/>
        <v>1776577.6866593608</v>
      </c>
      <c r="H127" s="302">
        <f t="shared" si="39"/>
        <v>1200.0821996104787</v>
      </c>
      <c r="I127" s="293">
        <f>SUM(H127:H128)/H129</f>
        <v>4.4529272155336896E-3</v>
      </c>
      <c r="J127" s="292">
        <f t="shared" si="40"/>
        <v>1480.3800000000003</v>
      </c>
      <c r="K127" s="302">
        <f t="shared" si="41"/>
        <v>1776577.6866593608</v>
      </c>
      <c r="L127" s="300">
        <f t="shared" si="42"/>
        <v>0</v>
      </c>
      <c r="M127" s="163"/>
      <c r="N127" s="163"/>
      <c r="O127" s="45"/>
      <c r="P127" s="45"/>
    </row>
    <row r="128" spans="1:16">
      <c r="A128" s="292">
        <f t="shared" si="43"/>
        <v>0.99999999999999989</v>
      </c>
      <c r="B128" s="292">
        <f t="shared" si="34"/>
        <v>1</v>
      </c>
      <c r="C128" s="300">
        <f t="shared" si="36"/>
        <v>511122.30032949621</v>
      </c>
      <c r="D128" s="300">
        <f t="shared" si="44"/>
        <v>1547.6700000000003</v>
      </c>
      <c r="E128" s="292">
        <f t="shared" si="37"/>
        <v>1682.2500000000002</v>
      </c>
      <c r="F128" s="292">
        <f t="shared" si="38"/>
        <v>1614.9600000000003</v>
      </c>
      <c r="G128" s="302">
        <f t="shared" si="35"/>
        <v>1737548.709890485</v>
      </c>
      <c r="H128" s="302">
        <f t="shared" si="39"/>
        <v>1075.9082019929192</v>
      </c>
      <c r="I128" s="293"/>
      <c r="J128" s="292">
        <f t="shared" si="40"/>
        <v>1614.9600000000003</v>
      </c>
      <c r="K128" s="302">
        <f t="shared" si="41"/>
        <v>1737548.709890485</v>
      </c>
      <c r="L128" s="300">
        <f t="shared" si="42"/>
        <v>0</v>
      </c>
      <c r="M128" s="163"/>
      <c r="N128" s="163"/>
      <c r="O128" s="45"/>
      <c r="P128" s="45"/>
    </row>
    <row r="129" spans="1:16">
      <c r="A129" s="292"/>
      <c r="B129" s="292"/>
      <c r="C129" s="292"/>
      <c r="D129" s="292"/>
      <c r="E129" s="292"/>
      <c r="F129" s="302"/>
      <c r="G129" s="302">
        <f>SUM(G119:G128)</f>
        <v>217107239.27497104</v>
      </c>
      <c r="H129" s="302">
        <f>SUM(H119:H128)</f>
        <v>511122.30032949621</v>
      </c>
      <c r="I129" s="293"/>
      <c r="J129" s="292"/>
      <c r="K129" s="302">
        <f>SUM(K119:K128)</f>
        <v>217107239.27497104</v>
      </c>
      <c r="L129" s="302">
        <f>SUM(L119:L128)</f>
        <v>0</v>
      </c>
      <c r="M129" s="163"/>
      <c r="N129" s="163"/>
      <c r="O129" s="45"/>
      <c r="P129" s="45"/>
    </row>
    <row r="130" spans="1:16">
      <c r="A130" s="292" t="s">
        <v>29</v>
      </c>
      <c r="B130" s="307">
        <f>B12</f>
        <v>0.02</v>
      </c>
      <c r="C130" s="292"/>
      <c r="D130" s="292"/>
      <c r="E130" s="292"/>
      <c r="F130" s="292"/>
      <c r="G130" s="292"/>
      <c r="H130" s="292"/>
      <c r="I130" s="293"/>
      <c r="J130" s="292"/>
      <c r="K130" s="300"/>
      <c r="L130" s="302"/>
      <c r="M130" s="163"/>
      <c r="N130" s="163"/>
      <c r="O130" s="45"/>
      <c r="P130" s="45"/>
    </row>
    <row r="131" spans="1:16">
      <c r="A131" s="295" t="s">
        <v>30</v>
      </c>
      <c r="B131" s="305">
        <f>H22</f>
        <v>511122.30032949621</v>
      </c>
      <c r="C131" s="292"/>
      <c r="D131" s="292"/>
      <c r="E131" s="292"/>
      <c r="F131" s="292"/>
      <c r="G131" s="292"/>
      <c r="H131" s="292"/>
      <c r="I131" s="293"/>
      <c r="J131" s="292"/>
      <c r="K131" s="292"/>
      <c r="L131" s="292"/>
      <c r="M131" s="163"/>
      <c r="N131" s="163"/>
      <c r="O131" s="45"/>
      <c r="P131" s="45"/>
    </row>
    <row r="132" spans="1:16">
      <c r="A132" s="295" t="s">
        <v>37</v>
      </c>
      <c r="B132" s="292">
        <f>G129/H129</f>
        <v>424.76573441427291</v>
      </c>
      <c r="C132" s="292"/>
      <c r="D132" s="292"/>
      <c r="E132" s="292"/>
      <c r="F132" s="292"/>
      <c r="G132" s="292"/>
      <c r="H132" s="292"/>
      <c r="I132" s="293"/>
      <c r="J132" s="292"/>
      <c r="K132" s="292"/>
      <c r="L132" s="292"/>
      <c r="M132" s="163"/>
      <c r="N132" s="163"/>
      <c r="O132" s="45"/>
      <c r="P132" s="45"/>
    </row>
    <row r="133" spans="1:16">
      <c r="A133" s="295" t="s">
        <v>43</v>
      </c>
      <c r="B133" s="292">
        <f>H10-G10</f>
        <v>20</v>
      </c>
      <c r="C133" s="292"/>
      <c r="D133" s="292"/>
      <c r="E133" s="292"/>
      <c r="F133" s="292"/>
      <c r="G133" s="292"/>
      <c r="H133" s="292"/>
      <c r="I133" s="293"/>
      <c r="J133" s="292"/>
      <c r="K133" s="292"/>
      <c r="L133" s="292"/>
      <c r="M133" s="163"/>
      <c r="N133" s="163"/>
      <c r="O133" s="45"/>
      <c r="P133" s="45"/>
    </row>
    <row r="134" spans="1:16">
      <c r="A134" s="295" t="s">
        <v>44</v>
      </c>
      <c r="B134" s="302">
        <f>G129*360</f>
        <v>78158606138.989578</v>
      </c>
      <c r="C134" s="292"/>
      <c r="D134" s="292"/>
      <c r="E134" s="292"/>
      <c r="F134" s="292"/>
      <c r="G134" s="292"/>
      <c r="H134" s="292"/>
      <c r="I134" s="293"/>
      <c r="J134" s="292"/>
      <c r="K134" s="292"/>
      <c r="L134" s="292"/>
      <c r="M134" s="163"/>
      <c r="N134" s="163"/>
      <c r="O134" s="45"/>
      <c r="P134" s="45"/>
    </row>
    <row r="135" spans="1:16">
      <c r="A135" s="295" t="s">
        <v>40</v>
      </c>
      <c r="B135" s="292">
        <f>K129/H129</f>
        <v>424.76573441427291</v>
      </c>
      <c r="C135" s="292"/>
      <c r="D135" s="292"/>
      <c r="E135" s="292"/>
      <c r="F135" s="292"/>
      <c r="G135" s="292"/>
      <c r="H135" s="292"/>
      <c r="I135" s="293"/>
      <c r="J135" s="292"/>
      <c r="K135" s="292"/>
      <c r="L135" s="292"/>
      <c r="M135" s="163"/>
      <c r="N135" s="163"/>
      <c r="O135" s="45"/>
      <c r="P135" s="45"/>
    </row>
    <row r="136" spans="1:16">
      <c r="A136" s="295" t="s">
        <v>42</v>
      </c>
      <c r="B136" s="306">
        <f>K129/G129-1</f>
        <v>0</v>
      </c>
      <c r="C136" s="292"/>
      <c r="D136" s="292"/>
      <c r="E136" s="292"/>
      <c r="F136" s="292"/>
      <c r="G136" s="292"/>
      <c r="H136" s="292"/>
      <c r="I136" s="293"/>
      <c r="J136" s="292"/>
      <c r="K136" s="292"/>
      <c r="L136" s="292"/>
      <c r="M136" s="163"/>
      <c r="N136" s="163"/>
      <c r="O136" s="45"/>
      <c r="P136" s="45"/>
    </row>
    <row r="137" spans="1:16">
      <c r="A137" s="45"/>
      <c r="B137" s="45"/>
      <c r="C137" s="45"/>
      <c r="D137" s="45"/>
      <c r="E137" s="45"/>
      <c r="F137" s="45"/>
      <c r="G137" s="45"/>
      <c r="H137" s="45"/>
      <c r="I137" s="56"/>
      <c r="J137" s="45"/>
      <c r="K137" s="45"/>
      <c r="L137" s="45"/>
      <c r="M137" s="45"/>
      <c r="N137" s="45"/>
      <c r="O137" s="45"/>
      <c r="P137" s="45"/>
    </row>
    <row r="138" spans="1:16">
      <c r="A138" s="45"/>
      <c r="B138" s="45"/>
      <c r="C138" s="45"/>
      <c r="D138" s="45"/>
      <c r="E138" s="45"/>
      <c r="F138" s="45"/>
      <c r="G138" s="45"/>
      <c r="H138" s="45"/>
      <c r="I138" s="56"/>
      <c r="J138" s="45"/>
      <c r="K138" s="45"/>
      <c r="L138" s="45"/>
      <c r="M138" s="45"/>
      <c r="N138" s="45"/>
      <c r="O138" s="45"/>
      <c r="P138" s="45"/>
    </row>
    <row r="139" spans="1:16">
      <c r="A139" s="45"/>
      <c r="B139" s="45"/>
      <c r="C139" s="45"/>
      <c r="D139" s="45"/>
      <c r="E139" s="45"/>
      <c r="F139" s="45"/>
      <c r="G139" s="45"/>
      <c r="H139" s="45"/>
      <c r="I139" s="56"/>
      <c r="J139" s="45"/>
      <c r="K139" s="45"/>
      <c r="L139" s="45"/>
      <c r="M139" s="45"/>
      <c r="N139" s="45"/>
      <c r="O139" s="45"/>
      <c r="P139" s="45"/>
    </row>
    <row r="140" spans="1:16">
      <c r="A140" s="45"/>
      <c r="B140" s="45"/>
      <c r="C140" s="45"/>
      <c r="D140" s="45"/>
      <c r="E140" s="45"/>
      <c r="F140" s="45"/>
      <c r="G140" s="45"/>
      <c r="H140" s="45"/>
      <c r="I140" s="56"/>
      <c r="J140" s="45"/>
      <c r="K140" s="45"/>
      <c r="L140" s="45"/>
      <c r="M140" s="45"/>
      <c r="N140" s="45"/>
      <c r="O140" s="45"/>
      <c r="P140" s="45"/>
    </row>
    <row r="141" spans="1:16">
      <c r="A141" s="45"/>
      <c r="B141" s="45"/>
      <c r="C141" s="45"/>
      <c r="D141" s="45"/>
      <c r="E141" s="45"/>
      <c r="F141" s="45"/>
      <c r="G141" s="45"/>
      <c r="H141" s="45"/>
      <c r="I141" s="56"/>
      <c r="J141" s="45"/>
      <c r="K141" s="45"/>
      <c r="L141" s="45"/>
      <c r="M141" s="45"/>
      <c r="N141" s="45"/>
      <c r="O141" s="45"/>
      <c r="P141" s="45"/>
    </row>
    <row r="142" spans="1:16">
      <c r="A142" s="45"/>
      <c r="B142" s="45"/>
      <c r="C142" s="45"/>
      <c r="D142" s="45"/>
      <c r="E142" s="45"/>
      <c r="F142" s="45"/>
      <c r="G142" s="45"/>
      <c r="H142" s="45"/>
      <c r="I142" s="56"/>
      <c r="J142" s="45"/>
      <c r="K142" s="45"/>
      <c r="L142" s="45"/>
      <c r="M142" s="45"/>
      <c r="N142" s="45"/>
      <c r="O142" s="45"/>
      <c r="P142" s="45"/>
    </row>
    <row r="143" spans="1:16">
      <c r="A143" s="45"/>
      <c r="B143" s="45"/>
      <c r="C143" s="45"/>
      <c r="D143" s="45"/>
      <c r="E143" s="45"/>
      <c r="F143" s="45"/>
      <c r="G143" s="45"/>
      <c r="H143" s="45"/>
      <c r="I143" s="56"/>
      <c r="J143" s="45"/>
      <c r="K143" s="45"/>
      <c r="L143" s="45"/>
      <c r="M143" s="45"/>
      <c r="N143" s="45"/>
      <c r="O143" s="45"/>
      <c r="P143" s="45"/>
    </row>
    <row r="144" spans="1:16">
      <c r="A144" s="45"/>
      <c r="B144" s="45"/>
      <c r="C144" s="45"/>
      <c r="D144" s="45"/>
      <c r="E144" s="45"/>
      <c r="F144" s="45"/>
      <c r="G144" s="45"/>
      <c r="H144" s="45"/>
      <c r="I144" s="56"/>
      <c r="J144" s="45"/>
      <c r="K144" s="45"/>
      <c r="L144" s="45"/>
      <c r="M144" s="45"/>
      <c r="N144" s="45"/>
      <c r="O144" s="45"/>
      <c r="P144" s="45"/>
    </row>
    <row r="145" spans="1:16">
      <c r="A145" s="45"/>
      <c r="B145" s="45"/>
      <c r="C145" s="45"/>
      <c r="D145" s="45"/>
      <c r="E145" s="45"/>
      <c r="F145" s="45"/>
      <c r="G145" s="45"/>
      <c r="H145" s="45"/>
      <c r="I145" s="56"/>
      <c r="J145" s="45"/>
      <c r="K145" s="45"/>
      <c r="L145" s="45"/>
      <c r="M145" s="45"/>
      <c r="N145" s="45"/>
      <c r="O145" s="45"/>
      <c r="P145" s="45"/>
    </row>
    <row r="146" spans="1:16">
      <c r="A146" s="45"/>
      <c r="B146" s="45"/>
      <c r="C146" s="45"/>
      <c r="D146" s="45"/>
      <c r="E146" s="45"/>
      <c r="F146" s="45"/>
      <c r="G146" s="45"/>
      <c r="H146" s="45"/>
      <c r="I146" s="56"/>
      <c r="J146" s="45"/>
      <c r="K146" s="45"/>
      <c r="L146" s="45"/>
      <c r="M146" s="45"/>
      <c r="N146" s="45"/>
      <c r="O146" s="45"/>
      <c r="P146" s="45"/>
    </row>
    <row r="147" spans="1:16">
      <c r="A147" s="45"/>
      <c r="B147" s="45"/>
      <c r="C147" s="45"/>
      <c r="D147" s="45"/>
      <c r="E147" s="45"/>
      <c r="F147" s="45"/>
      <c r="G147" s="45"/>
      <c r="H147" s="45"/>
      <c r="I147" s="56"/>
      <c r="J147" s="45"/>
      <c r="K147" s="45"/>
      <c r="L147" s="45"/>
      <c r="M147" s="45"/>
      <c r="N147" s="45"/>
      <c r="O147" s="45"/>
      <c r="P147" s="45"/>
    </row>
    <row r="148" spans="1:16">
      <c r="A148" s="45"/>
      <c r="B148" s="45"/>
      <c r="C148" s="45"/>
      <c r="D148" s="45"/>
      <c r="E148" s="45"/>
      <c r="F148" s="45"/>
      <c r="G148" s="45"/>
      <c r="H148" s="45"/>
      <c r="I148" s="56"/>
      <c r="J148" s="45"/>
      <c r="K148" s="45"/>
      <c r="L148" s="45"/>
      <c r="M148" s="45"/>
      <c r="N148" s="45"/>
      <c r="O148" s="45"/>
      <c r="P148" s="45"/>
    </row>
    <row r="149" spans="1:16">
      <c r="A149" s="45"/>
      <c r="B149" s="45"/>
      <c r="C149" s="45"/>
      <c r="D149" s="45"/>
      <c r="E149" s="45"/>
      <c r="F149" s="45"/>
      <c r="G149" s="45"/>
      <c r="H149" s="45"/>
      <c r="I149" s="56"/>
      <c r="J149" s="45"/>
      <c r="K149" s="45"/>
      <c r="L149" s="45"/>
      <c r="M149" s="45"/>
      <c r="N149" s="45"/>
      <c r="O149" s="45"/>
      <c r="P149" s="45"/>
    </row>
    <row r="150" spans="1:16">
      <c r="A150" s="45"/>
      <c r="B150" s="45"/>
      <c r="C150" s="45"/>
      <c r="D150" s="45"/>
      <c r="E150" s="45"/>
      <c r="F150" s="45"/>
      <c r="G150" s="45"/>
      <c r="H150" s="45"/>
      <c r="I150" s="56"/>
      <c r="J150" s="45"/>
      <c r="K150" s="45"/>
      <c r="L150" s="45"/>
      <c r="M150" s="45"/>
      <c r="N150" s="45"/>
      <c r="O150" s="45"/>
      <c r="P150" s="45"/>
    </row>
    <row r="151" spans="1:16">
      <c r="A151" s="45"/>
      <c r="B151" s="45"/>
      <c r="C151" s="45"/>
      <c r="D151" s="45"/>
      <c r="E151" s="45"/>
      <c r="F151" s="45"/>
      <c r="G151" s="45"/>
      <c r="H151" s="45"/>
      <c r="I151" s="56"/>
      <c r="J151" s="45"/>
      <c r="K151" s="45"/>
      <c r="L151" s="45"/>
      <c r="M151" s="45"/>
      <c r="N151" s="45"/>
      <c r="O151" s="45"/>
      <c r="P151" s="45"/>
    </row>
    <row r="152" spans="1:16">
      <c r="A152" s="45"/>
      <c r="B152" s="45"/>
      <c r="C152" s="45"/>
      <c r="D152" s="45"/>
      <c r="E152" s="45"/>
      <c r="F152" s="45"/>
      <c r="G152" s="45"/>
      <c r="H152" s="45"/>
      <c r="I152" s="56"/>
      <c r="J152" s="45"/>
      <c r="K152" s="45"/>
      <c r="L152" s="45"/>
      <c r="M152" s="45"/>
      <c r="N152" s="45"/>
      <c r="O152" s="45"/>
      <c r="P152" s="45"/>
    </row>
    <row r="153" spans="1:16">
      <c r="A153" s="45"/>
      <c r="B153" s="45"/>
      <c r="C153" s="45"/>
      <c r="D153" s="45"/>
      <c r="E153" s="45"/>
      <c r="F153" s="45"/>
      <c r="G153" s="45"/>
      <c r="H153" s="45"/>
      <c r="I153" s="56"/>
      <c r="J153" s="45"/>
      <c r="K153" s="45"/>
      <c r="L153" s="45"/>
      <c r="M153" s="45"/>
      <c r="N153" s="45"/>
      <c r="O153" s="45"/>
      <c r="P153" s="45"/>
    </row>
    <row r="154" spans="1:16">
      <c r="A154" s="45"/>
      <c r="B154" s="45"/>
      <c r="C154" s="45"/>
      <c r="D154" s="45"/>
      <c r="E154" s="45"/>
      <c r="F154" s="45"/>
      <c r="G154" s="45"/>
      <c r="H154" s="45"/>
      <c r="I154" s="56"/>
      <c r="J154" s="45"/>
      <c r="K154" s="45"/>
      <c r="L154" s="45"/>
      <c r="M154" s="45"/>
      <c r="N154" s="45"/>
      <c r="O154" s="45"/>
      <c r="P154" s="45"/>
    </row>
    <row r="155" spans="1:16">
      <c r="A155" s="45"/>
      <c r="B155" s="45"/>
      <c r="C155" s="45"/>
      <c r="D155" s="45"/>
      <c r="E155" s="45"/>
      <c r="F155" s="45"/>
      <c r="G155" s="45"/>
      <c r="H155" s="45"/>
      <c r="I155" s="56"/>
      <c r="J155" s="45"/>
      <c r="K155" s="45"/>
      <c r="L155" s="45"/>
      <c r="M155" s="45"/>
      <c r="N155" s="45"/>
      <c r="O155" s="45"/>
      <c r="P155" s="45"/>
    </row>
    <row r="156" spans="1:16">
      <c r="A156" s="45"/>
      <c r="B156" s="45"/>
      <c r="C156" s="45"/>
      <c r="D156" s="45"/>
      <c r="E156" s="45"/>
      <c r="F156" s="45"/>
      <c r="G156" s="45"/>
      <c r="H156" s="45"/>
      <c r="I156" s="56"/>
      <c r="J156" s="45"/>
      <c r="K156" s="45"/>
      <c r="L156" s="45"/>
      <c r="M156" s="45"/>
      <c r="N156" s="45"/>
      <c r="O156" s="45"/>
      <c r="P156" s="45"/>
    </row>
    <row r="157" spans="1:16">
      <c r="A157" s="45"/>
      <c r="B157" s="45"/>
      <c r="C157" s="45"/>
      <c r="D157" s="45"/>
      <c r="E157" s="45"/>
      <c r="F157" s="45"/>
      <c r="G157" s="45"/>
      <c r="H157" s="45"/>
      <c r="I157" s="56"/>
      <c r="J157" s="45"/>
      <c r="K157" s="45"/>
      <c r="L157" s="45"/>
      <c r="M157" s="45"/>
      <c r="N157" s="45"/>
      <c r="O157" s="45"/>
      <c r="P157" s="45"/>
    </row>
    <row r="158" spans="1:16">
      <c r="A158" s="45"/>
      <c r="B158" s="45"/>
      <c r="C158" s="45"/>
      <c r="D158" s="45"/>
      <c r="E158" s="45"/>
      <c r="F158" s="45"/>
      <c r="G158" s="45"/>
      <c r="H158" s="45"/>
      <c r="I158" s="56"/>
      <c r="J158" s="45"/>
      <c r="K158" s="45"/>
      <c r="L158" s="45"/>
      <c r="M158" s="45"/>
      <c r="N158" s="45"/>
      <c r="O158" s="45"/>
      <c r="P158" s="45"/>
    </row>
    <row r="159" spans="1:16">
      <c r="A159" s="45"/>
      <c r="B159" s="45"/>
      <c r="C159" s="45"/>
      <c r="D159" s="45"/>
      <c r="E159" s="45"/>
      <c r="F159" s="45"/>
      <c r="G159" s="45"/>
      <c r="H159" s="45"/>
      <c r="I159" s="56"/>
      <c r="J159" s="45"/>
      <c r="K159" s="45"/>
      <c r="L159" s="45"/>
      <c r="M159" s="45"/>
      <c r="N159" s="45"/>
      <c r="O159" s="45"/>
      <c r="P159" s="45"/>
    </row>
    <row r="160" spans="1:16">
      <c r="A160" s="45"/>
      <c r="B160" s="45"/>
      <c r="C160" s="45"/>
      <c r="D160" s="45"/>
      <c r="E160" s="45"/>
      <c r="F160" s="45"/>
      <c r="G160" s="45"/>
      <c r="H160" s="45"/>
      <c r="I160" s="56"/>
      <c r="J160" s="45"/>
      <c r="K160" s="45"/>
      <c r="L160" s="45"/>
      <c r="M160" s="45"/>
      <c r="N160" s="45"/>
      <c r="O160" s="45"/>
      <c r="P160" s="45"/>
    </row>
    <row r="161" spans="1:16">
      <c r="A161" s="45"/>
      <c r="B161" s="45"/>
      <c r="C161" s="45"/>
      <c r="D161" s="45"/>
      <c r="E161" s="45"/>
      <c r="F161" s="45"/>
      <c r="G161" s="45"/>
      <c r="H161" s="45"/>
      <c r="I161" s="56"/>
      <c r="J161" s="45"/>
      <c r="K161" s="45"/>
      <c r="L161" s="45"/>
      <c r="M161" s="45"/>
      <c r="N161" s="45"/>
      <c r="O161" s="45"/>
      <c r="P161" s="45"/>
    </row>
    <row r="162" spans="1:16">
      <c r="A162" s="45"/>
      <c r="B162" s="45"/>
      <c r="C162" s="45"/>
      <c r="D162" s="45"/>
      <c r="E162" s="45"/>
      <c r="F162" s="45"/>
      <c r="G162" s="45"/>
      <c r="H162" s="45"/>
      <c r="I162" s="56"/>
      <c r="J162" s="45"/>
      <c r="K162" s="45"/>
      <c r="L162" s="45"/>
      <c r="M162" s="45"/>
      <c r="N162" s="45"/>
      <c r="O162" s="45"/>
      <c r="P162" s="45"/>
    </row>
    <row r="163" spans="1:16">
      <c r="A163" s="45"/>
      <c r="B163" s="45"/>
      <c r="C163" s="45"/>
      <c r="D163" s="45"/>
      <c r="E163" s="45"/>
      <c r="F163" s="45"/>
      <c r="G163" s="45"/>
      <c r="H163" s="45"/>
      <c r="I163" s="56"/>
      <c r="J163" s="45"/>
      <c r="K163" s="45"/>
      <c r="L163" s="45"/>
      <c r="M163" s="45"/>
      <c r="N163" s="45"/>
      <c r="O163" s="45"/>
      <c r="P163" s="45"/>
    </row>
    <row r="164" spans="1:16">
      <c r="A164" s="45"/>
      <c r="B164" s="45"/>
      <c r="C164" s="45"/>
      <c r="D164" s="45"/>
      <c r="E164" s="45"/>
      <c r="F164" s="45"/>
      <c r="G164" s="45"/>
      <c r="H164" s="45"/>
      <c r="I164" s="56"/>
      <c r="J164" s="45"/>
      <c r="K164" s="45"/>
      <c r="L164" s="45"/>
      <c r="M164" s="45"/>
      <c r="N164" s="45"/>
      <c r="O164" s="45"/>
      <c r="P164" s="45"/>
    </row>
    <row r="165" spans="1:16">
      <c r="A165" s="45"/>
      <c r="B165" s="45"/>
      <c r="C165" s="45"/>
      <c r="D165" s="45"/>
      <c r="E165" s="45"/>
      <c r="F165" s="45"/>
      <c r="G165" s="45"/>
      <c r="H165" s="45"/>
      <c r="I165" s="56"/>
      <c r="J165" s="45"/>
      <c r="K165" s="45"/>
      <c r="L165" s="45"/>
      <c r="M165" s="45"/>
      <c r="N165" s="45"/>
      <c r="O165" s="45"/>
      <c r="P165" s="45"/>
    </row>
    <row r="166" spans="1:16">
      <c r="A166" s="45"/>
      <c r="B166" s="45"/>
      <c r="C166" s="45"/>
      <c r="D166" s="45"/>
      <c r="E166" s="45"/>
      <c r="F166" s="45"/>
      <c r="G166" s="45"/>
      <c r="H166" s="45"/>
      <c r="I166" s="56"/>
      <c r="J166" s="45"/>
      <c r="K166" s="45"/>
      <c r="L166" s="45"/>
      <c r="M166" s="45"/>
      <c r="N166" s="45"/>
      <c r="O166" s="45"/>
      <c r="P166" s="45"/>
    </row>
    <row r="167" spans="1:16">
      <c r="A167" s="45"/>
      <c r="B167" s="45"/>
      <c r="C167" s="45"/>
      <c r="D167" s="45"/>
      <c r="E167" s="45"/>
      <c r="F167" s="45"/>
      <c r="G167" s="45"/>
      <c r="H167" s="45"/>
      <c r="I167" s="56"/>
      <c r="J167" s="45"/>
      <c r="K167" s="45"/>
      <c r="L167" s="45"/>
      <c r="M167" s="45"/>
      <c r="N167" s="45"/>
      <c r="O167" s="45"/>
      <c r="P167" s="45"/>
    </row>
    <row r="168" spans="1:16">
      <c r="A168" s="45"/>
      <c r="B168" s="45"/>
      <c r="C168" s="45"/>
      <c r="D168" s="45"/>
      <c r="E168" s="45"/>
      <c r="F168" s="45"/>
      <c r="G168" s="45"/>
      <c r="H168" s="45"/>
      <c r="I168" s="56"/>
      <c r="J168" s="45"/>
      <c r="K168" s="45"/>
      <c r="L168" s="45"/>
      <c r="M168" s="45"/>
      <c r="N168" s="45"/>
      <c r="O168" s="45"/>
      <c r="P168" s="45"/>
    </row>
    <row r="169" spans="1:16">
      <c r="A169" s="45"/>
      <c r="B169" s="45"/>
      <c r="C169" s="45"/>
      <c r="D169" s="45"/>
      <c r="E169" s="45"/>
      <c r="F169" s="45"/>
      <c r="G169" s="45"/>
      <c r="H169" s="45"/>
      <c r="I169" s="56"/>
      <c r="J169" s="45"/>
      <c r="K169" s="45"/>
      <c r="L169" s="45"/>
      <c r="M169" s="45"/>
      <c r="N169" s="45"/>
      <c r="O169" s="45"/>
      <c r="P169" s="45"/>
    </row>
    <row r="170" spans="1:16">
      <c r="A170" s="45"/>
      <c r="B170" s="45"/>
      <c r="C170" s="45"/>
      <c r="D170" s="45"/>
      <c r="E170" s="45"/>
      <c r="F170" s="45"/>
      <c r="G170" s="45"/>
      <c r="H170" s="45"/>
      <c r="I170" s="56"/>
      <c r="J170" s="45"/>
      <c r="K170" s="45"/>
      <c r="L170" s="45"/>
      <c r="M170" s="45"/>
      <c r="N170" s="45"/>
      <c r="O170" s="45"/>
      <c r="P170" s="45"/>
    </row>
    <row r="171" spans="1:16">
      <c r="A171" s="45"/>
      <c r="B171" s="45"/>
      <c r="C171" s="45"/>
      <c r="D171" s="45"/>
      <c r="E171" s="45"/>
      <c r="F171" s="45"/>
      <c r="G171" s="45"/>
      <c r="H171" s="45"/>
      <c r="I171" s="56"/>
      <c r="J171" s="45"/>
      <c r="K171" s="45"/>
      <c r="L171" s="45"/>
      <c r="M171" s="45"/>
      <c r="N171" s="45"/>
      <c r="O171" s="45"/>
      <c r="P171" s="45"/>
    </row>
    <row r="172" spans="1:16">
      <c r="A172" s="45"/>
      <c r="B172" s="45"/>
      <c r="C172" s="45"/>
      <c r="D172" s="45"/>
      <c r="E172" s="45"/>
      <c r="F172" s="45"/>
      <c r="G172" s="45"/>
      <c r="H172" s="45"/>
      <c r="I172" s="56"/>
      <c r="J172" s="45"/>
      <c r="K172" s="45"/>
      <c r="L172" s="45"/>
      <c r="M172" s="45"/>
      <c r="N172" s="45"/>
      <c r="O172" s="45"/>
      <c r="P172" s="45"/>
    </row>
    <row r="173" spans="1:16">
      <c r="A173" s="45"/>
      <c r="B173" s="45"/>
      <c r="C173" s="45"/>
      <c r="D173" s="45"/>
      <c r="E173" s="45"/>
      <c r="F173" s="45"/>
      <c r="G173" s="45"/>
      <c r="H173" s="45"/>
      <c r="I173" s="56"/>
      <c r="J173" s="45"/>
      <c r="K173" s="45"/>
      <c r="L173" s="45"/>
      <c r="M173" s="45"/>
      <c r="N173" s="45"/>
      <c r="O173" s="45"/>
      <c r="P173" s="45"/>
    </row>
    <row r="174" spans="1:16">
      <c r="A174" s="45"/>
      <c r="B174" s="45"/>
      <c r="C174" s="45"/>
      <c r="D174" s="45"/>
      <c r="E174" s="45"/>
      <c r="F174" s="45"/>
      <c r="G174" s="45"/>
      <c r="H174" s="45"/>
      <c r="I174" s="56"/>
      <c r="J174" s="45"/>
      <c r="K174" s="45"/>
      <c r="L174" s="45"/>
      <c r="M174" s="45"/>
      <c r="N174" s="45"/>
      <c r="O174" s="45"/>
      <c r="P174" s="45"/>
    </row>
    <row r="175" spans="1:16">
      <c r="A175" s="45"/>
      <c r="B175" s="45"/>
      <c r="C175" s="45"/>
      <c r="D175" s="45"/>
      <c r="E175" s="45"/>
      <c r="F175" s="45"/>
      <c r="G175" s="45"/>
      <c r="H175" s="45"/>
      <c r="I175" s="56"/>
      <c r="J175" s="45"/>
      <c r="K175" s="45"/>
      <c r="L175" s="45"/>
      <c r="M175" s="45"/>
      <c r="N175" s="45"/>
      <c r="O175" s="45"/>
      <c r="P175" s="45"/>
    </row>
    <row r="176" spans="1:16">
      <c r="A176" s="45"/>
      <c r="B176" s="45"/>
      <c r="C176" s="45"/>
      <c r="D176" s="45"/>
      <c r="E176" s="45"/>
      <c r="F176" s="45"/>
      <c r="G176" s="45"/>
      <c r="H176" s="45"/>
      <c r="I176" s="56"/>
      <c r="J176" s="45"/>
      <c r="K176" s="45"/>
      <c r="L176" s="45"/>
      <c r="M176" s="45"/>
      <c r="N176" s="45"/>
      <c r="O176" s="45"/>
      <c r="P176" s="45"/>
    </row>
    <row r="177" spans="1:16">
      <c r="A177" s="45"/>
      <c r="B177" s="45"/>
      <c r="C177" s="45"/>
      <c r="D177" s="45"/>
      <c r="E177" s="45"/>
      <c r="F177" s="45"/>
      <c r="G177" s="45"/>
      <c r="H177" s="45"/>
      <c r="I177" s="56"/>
      <c r="J177" s="45"/>
      <c r="K177" s="45"/>
      <c r="L177" s="45"/>
      <c r="M177" s="45"/>
      <c r="N177" s="45"/>
      <c r="O177" s="45"/>
      <c r="P177" s="45"/>
    </row>
    <row r="178" spans="1:16">
      <c r="A178" s="45"/>
      <c r="B178" s="45"/>
      <c r="C178" s="45"/>
      <c r="D178" s="45"/>
      <c r="E178" s="45"/>
      <c r="F178" s="45"/>
      <c r="G178" s="45"/>
      <c r="H178" s="45"/>
      <c r="I178" s="56"/>
      <c r="J178" s="45"/>
      <c r="K178" s="45"/>
      <c r="L178" s="45"/>
      <c r="M178" s="45"/>
      <c r="N178" s="45"/>
      <c r="O178" s="45"/>
      <c r="P178" s="45"/>
    </row>
    <row r="179" spans="1:16">
      <c r="A179" s="45"/>
      <c r="B179" s="45"/>
      <c r="C179" s="45"/>
      <c r="D179" s="45"/>
      <c r="E179" s="45"/>
      <c r="F179" s="45"/>
      <c r="G179" s="45"/>
      <c r="H179" s="45"/>
      <c r="I179" s="56"/>
      <c r="J179" s="45"/>
      <c r="K179" s="45"/>
      <c r="L179" s="45"/>
      <c r="M179" s="45"/>
      <c r="N179" s="45"/>
      <c r="O179" s="45"/>
      <c r="P179" s="45"/>
    </row>
    <row r="180" spans="1:16">
      <c r="A180" s="45"/>
      <c r="B180" s="45"/>
      <c r="C180" s="45"/>
      <c r="D180" s="45"/>
      <c r="E180" s="45"/>
      <c r="F180" s="45"/>
      <c r="G180" s="45"/>
      <c r="H180" s="45"/>
      <c r="I180" s="56"/>
      <c r="J180" s="45"/>
      <c r="K180" s="45"/>
      <c r="L180" s="45"/>
      <c r="M180" s="45"/>
      <c r="N180" s="45"/>
      <c r="O180" s="45"/>
      <c r="P180" s="45"/>
    </row>
    <row r="181" spans="1:16">
      <c r="A181" s="45"/>
      <c r="B181" s="45"/>
      <c r="C181" s="45"/>
      <c r="D181" s="45"/>
      <c r="E181" s="45"/>
      <c r="F181" s="45"/>
      <c r="G181" s="45"/>
      <c r="H181" s="45"/>
      <c r="I181" s="56"/>
      <c r="J181" s="45"/>
      <c r="K181" s="45"/>
      <c r="L181" s="45"/>
      <c r="M181" s="45"/>
      <c r="N181" s="45"/>
      <c r="O181" s="45"/>
      <c r="P181" s="45"/>
    </row>
    <row r="182" spans="1:16">
      <c r="A182" s="45"/>
      <c r="B182" s="45"/>
      <c r="C182" s="45"/>
      <c r="D182" s="45"/>
      <c r="E182" s="45"/>
      <c r="F182" s="45"/>
      <c r="G182" s="45"/>
      <c r="H182" s="45"/>
      <c r="I182" s="56"/>
      <c r="J182" s="45"/>
      <c r="K182" s="45"/>
      <c r="L182" s="45"/>
      <c r="M182" s="45"/>
      <c r="N182" s="45"/>
      <c r="O182" s="45"/>
      <c r="P182" s="45"/>
    </row>
    <row r="183" spans="1:16">
      <c r="A183" s="45"/>
      <c r="B183" s="45"/>
      <c r="C183" s="45"/>
      <c r="D183" s="45"/>
      <c r="E183" s="45"/>
      <c r="F183" s="45"/>
      <c r="G183" s="45"/>
      <c r="H183" s="45"/>
      <c r="I183" s="56"/>
      <c r="J183" s="45"/>
      <c r="K183" s="45"/>
      <c r="L183" s="45"/>
      <c r="M183" s="45"/>
      <c r="N183" s="45"/>
      <c r="O183" s="45"/>
      <c r="P183" s="45"/>
    </row>
    <row r="184" spans="1:16">
      <c r="A184" s="45"/>
      <c r="B184" s="45"/>
      <c r="C184" s="45"/>
      <c r="D184" s="45"/>
      <c r="E184" s="45"/>
      <c r="F184" s="45"/>
      <c r="G184" s="45"/>
      <c r="H184" s="45"/>
      <c r="I184" s="56"/>
      <c r="J184" s="45"/>
      <c r="K184" s="45"/>
      <c r="L184" s="45"/>
      <c r="M184" s="45"/>
      <c r="N184" s="45"/>
      <c r="O184" s="45"/>
      <c r="P184" s="45"/>
    </row>
    <row r="185" spans="1:16">
      <c r="A185" s="45"/>
      <c r="B185" s="45"/>
      <c r="C185" s="45"/>
      <c r="D185" s="45"/>
      <c r="E185" s="45"/>
      <c r="F185" s="45"/>
      <c r="G185" s="45"/>
      <c r="H185" s="45"/>
      <c r="I185" s="56"/>
      <c r="J185" s="45"/>
      <c r="K185" s="45"/>
      <c r="L185" s="45"/>
      <c r="M185" s="45"/>
      <c r="N185" s="45"/>
      <c r="O185" s="45"/>
      <c r="P185" s="45"/>
    </row>
    <row r="186" spans="1:16">
      <c r="A186" s="45"/>
      <c r="B186" s="45"/>
      <c r="C186" s="45"/>
      <c r="D186" s="45"/>
      <c r="E186" s="45"/>
      <c r="F186" s="45"/>
      <c r="G186" s="45"/>
      <c r="H186" s="45"/>
      <c r="I186" s="56"/>
      <c r="J186" s="45"/>
      <c r="K186" s="45"/>
      <c r="L186" s="45"/>
      <c r="M186" s="45"/>
      <c r="N186" s="45"/>
      <c r="O186" s="45"/>
      <c r="P186" s="45"/>
    </row>
    <row r="187" spans="1:16">
      <c r="A187" s="45"/>
      <c r="B187" s="45"/>
      <c r="C187" s="45"/>
      <c r="D187" s="45"/>
      <c r="E187" s="45"/>
      <c r="F187" s="45"/>
      <c r="G187" s="45"/>
      <c r="H187" s="45"/>
      <c r="I187" s="56"/>
      <c r="J187" s="45"/>
      <c r="K187" s="45"/>
      <c r="L187" s="45"/>
      <c r="M187" s="45"/>
      <c r="N187" s="45"/>
      <c r="O187" s="45"/>
      <c r="P187" s="45"/>
    </row>
    <row r="188" spans="1:16">
      <c r="A188" s="45"/>
      <c r="B188" s="45"/>
      <c r="C188" s="45"/>
      <c r="D188" s="45"/>
      <c r="E188" s="45"/>
      <c r="F188" s="45"/>
      <c r="G188" s="45"/>
      <c r="H188" s="45"/>
      <c r="I188" s="56"/>
      <c r="J188" s="45"/>
      <c r="K188" s="45"/>
      <c r="L188" s="45"/>
      <c r="M188" s="45"/>
      <c r="N188" s="45"/>
      <c r="O188" s="45"/>
      <c r="P188" s="45"/>
    </row>
    <row r="189" spans="1:16">
      <c r="A189" s="45"/>
      <c r="B189" s="45"/>
      <c r="C189" s="45"/>
      <c r="D189" s="45"/>
      <c r="E189" s="45"/>
      <c r="F189" s="45"/>
      <c r="G189" s="45"/>
      <c r="H189" s="45"/>
      <c r="I189" s="56"/>
      <c r="J189" s="45"/>
      <c r="K189" s="45"/>
      <c r="L189" s="45"/>
      <c r="M189" s="45"/>
      <c r="N189" s="45"/>
      <c r="O189" s="45"/>
      <c r="P189" s="45"/>
    </row>
    <row r="190" spans="1:16">
      <c r="A190" s="45"/>
      <c r="B190" s="45"/>
      <c r="C190" s="45"/>
      <c r="D190" s="45"/>
      <c r="E190" s="45"/>
      <c r="F190" s="45"/>
      <c r="G190" s="45"/>
      <c r="H190" s="45"/>
      <c r="I190" s="56"/>
      <c r="J190" s="45"/>
      <c r="K190" s="45"/>
      <c r="L190" s="45"/>
      <c r="M190" s="45"/>
      <c r="N190" s="45"/>
      <c r="O190" s="45"/>
      <c r="P190" s="45"/>
    </row>
    <row r="191" spans="1:16">
      <c r="A191" s="45"/>
      <c r="B191" s="45"/>
      <c r="C191" s="45"/>
      <c r="D191" s="45"/>
      <c r="E191" s="45"/>
      <c r="F191" s="45"/>
      <c r="G191" s="45"/>
      <c r="H191" s="45"/>
      <c r="I191" s="56"/>
      <c r="J191" s="45"/>
      <c r="K191" s="45"/>
      <c r="L191" s="45"/>
      <c r="M191" s="45"/>
      <c r="N191" s="45"/>
      <c r="O191" s="45"/>
      <c r="P191" s="45"/>
    </row>
    <row r="192" spans="1:16">
      <c r="A192" s="45"/>
      <c r="B192" s="45"/>
      <c r="C192" s="45"/>
      <c r="D192" s="45"/>
      <c r="E192" s="45"/>
      <c r="F192" s="45"/>
      <c r="G192" s="45"/>
      <c r="H192" s="45"/>
      <c r="I192" s="56"/>
      <c r="J192" s="45"/>
      <c r="K192" s="45"/>
      <c r="L192" s="45"/>
      <c r="M192" s="45"/>
      <c r="N192" s="45"/>
      <c r="O192" s="45"/>
      <c r="P192" s="45"/>
    </row>
    <row r="193" spans="1:16">
      <c r="A193" s="45"/>
      <c r="B193" s="45"/>
      <c r="C193" s="45"/>
      <c r="D193" s="45"/>
      <c r="E193" s="45"/>
      <c r="F193" s="45"/>
      <c r="G193" s="45"/>
      <c r="H193" s="45"/>
      <c r="I193" s="56"/>
      <c r="J193" s="45"/>
      <c r="K193" s="45"/>
      <c r="L193" s="45"/>
      <c r="M193" s="45"/>
      <c r="N193" s="45"/>
      <c r="O193" s="45"/>
      <c r="P193" s="45"/>
    </row>
    <row r="194" spans="1:16">
      <c r="A194" s="45"/>
      <c r="B194" s="45"/>
      <c r="C194" s="45"/>
      <c r="D194" s="45"/>
      <c r="E194" s="45"/>
      <c r="F194" s="45"/>
      <c r="G194" s="45"/>
      <c r="H194" s="45"/>
      <c r="I194" s="56"/>
      <c r="J194" s="45"/>
      <c r="K194" s="45"/>
      <c r="L194" s="45"/>
      <c r="M194" s="45"/>
      <c r="N194" s="45"/>
      <c r="O194" s="45"/>
      <c r="P194" s="45"/>
    </row>
    <row r="195" spans="1:16">
      <c r="A195" s="45"/>
      <c r="B195" s="45"/>
      <c r="C195" s="45"/>
      <c r="D195" s="45"/>
      <c r="E195" s="45"/>
      <c r="F195" s="45"/>
      <c r="G195" s="45"/>
      <c r="H195" s="45"/>
      <c r="I195" s="56"/>
      <c r="J195" s="45"/>
      <c r="K195" s="45"/>
      <c r="L195" s="45"/>
      <c r="M195" s="45"/>
      <c r="N195" s="45"/>
      <c r="O195" s="45"/>
      <c r="P195" s="45"/>
    </row>
    <row r="196" spans="1:16">
      <c r="A196" s="45"/>
      <c r="B196" s="45"/>
      <c r="C196" s="45"/>
      <c r="D196" s="45"/>
      <c r="E196" s="45"/>
      <c r="F196" s="45"/>
      <c r="G196" s="45"/>
      <c r="H196" s="45"/>
      <c r="I196" s="56"/>
      <c r="J196" s="45"/>
      <c r="K196" s="45"/>
      <c r="L196" s="45"/>
      <c r="M196" s="45"/>
      <c r="N196" s="45"/>
      <c r="O196" s="45"/>
      <c r="P196" s="45"/>
    </row>
    <row r="197" spans="1:16">
      <c r="A197" s="45"/>
      <c r="B197" s="45"/>
      <c r="C197" s="45"/>
      <c r="D197" s="45"/>
      <c r="E197" s="45"/>
      <c r="F197" s="45"/>
      <c r="G197" s="45"/>
      <c r="H197" s="45"/>
      <c r="I197" s="56"/>
      <c r="J197" s="45"/>
      <c r="K197" s="45"/>
      <c r="L197" s="45"/>
      <c r="M197" s="45"/>
      <c r="N197" s="45"/>
      <c r="O197" s="45"/>
      <c r="P197" s="45"/>
    </row>
    <row r="198" spans="1:16">
      <c r="A198" s="45"/>
      <c r="B198" s="45"/>
      <c r="C198" s="45"/>
      <c r="D198" s="45"/>
      <c r="E198" s="45"/>
      <c r="F198" s="45"/>
      <c r="G198" s="45"/>
      <c r="H198" s="45"/>
      <c r="I198" s="56"/>
      <c r="J198" s="45"/>
      <c r="K198" s="45"/>
      <c r="L198" s="45"/>
      <c r="M198" s="45"/>
      <c r="N198" s="45"/>
      <c r="O198" s="45"/>
      <c r="P198" s="45"/>
    </row>
    <row r="199" spans="1:16">
      <c r="A199" s="45"/>
      <c r="B199" s="45"/>
      <c r="C199" s="45"/>
      <c r="D199" s="45"/>
      <c r="E199" s="45"/>
      <c r="F199" s="45"/>
      <c r="G199" s="45"/>
      <c r="H199" s="45"/>
      <c r="I199" s="56"/>
      <c r="J199" s="45"/>
      <c r="K199" s="45"/>
      <c r="L199" s="45"/>
      <c r="M199" s="45"/>
      <c r="N199" s="45"/>
      <c r="O199" s="45"/>
      <c r="P199" s="45"/>
    </row>
    <row r="200" spans="1:16">
      <c r="A200" s="45"/>
      <c r="B200" s="45"/>
      <c r="C200" s="45"/>
      <c r="D200" s="45"/>
      <c r="E200" s="45"/>
      <c r="F200" s="45"/>
      <c r="G200" s="45"/>
      <c r="H200" s="45"/>
      <c r="I200" s="56"/>
      <c r="J200" s="45"/>
      <c r="K200" s="45"/>
      <c r="L200" s="45"/>
      <c r="M200" s="45"/>
      <c r="N200" s="45"/>
      <c r="O200" s="45"/>
      <c r="P200" s="45"/>
    </row>
    <row r="201" spans="1:16">
      <c r="A201" s="45"/>
      <c r="B201" s="45"/>
      <c r="C201" s="45"/>
      <c r="D201" s="45"/>
      <c r="E201" s="45"/>
      <c r="F201" s="45"/>
      <c r="G201" s="45"/>
      <c r="H201" s="45"/>
      <c r="I201" s="56"/>
      <c r="J201" s="45"/>
      <c r="K201" s="45"/>
      <c r="L201" s="45"/>
      <c r="M201" s="45"/>
      <c r="N201" s="45"/>
      <c r="O201" s="45"/>
      <c r="P201" s="45"/>
    </row>
    <row r="202" spans="1:16">
      <c r="A202" s="45"/>
      <c r="B202" s="45"/>
      <c r="C202" s="45"/>
      <c r="D202" s="45"/>
      <c r="E202" s="45"/>
      <c r="F202" s="45"/>
      <c r="G202" s="45"/>
      <c r="H202" s="45"/>
      <c r="I202" s="56"/>
      <c r="J202" s="45"/>
      <c r="K202" s="45"/>
      <c r="L202" s="45"/>
      <c r="M202" s="45"/>
      <c r="N202" s="45"/>
      <c r="O202" s="45"/>
      <c r="P202" s="45"/>
    </row>
    <row r="203" spans="1:16">
      <c r="A203" s="45"/>
      <c r="B203" s="45"/>
      <c r="C203" s="45"/>
      <c r="D203" s="45"/>
      <c r="E203" s="45"/>
      <c r="F203" s="45"/>
      <c r="G203" s="45"/>
      <c r="H203" s="45"/>
      <c r="I203" s="56"/>
      <c r="J203" s="45"/>
      <c r="K203" s="45"/>
      <c r="L203" s="45"/>
      <c r="M203" s="45"/>
      <c r="N203" s="45"/>
      <c r="O203" s="45"/>
      <c r="P203" s="45"/>
    </row>
    <row r="204" spans="1:16">
      <c r="A204" s="45"/>
      <c r="B204" s="45"/>
      <c r="C204" s="45"/>
      <c r="D204" s="45"/>
      <c r="E204" s="45"/>
      <c r="F204" s="45"/>
      <c r="G204" s="45"/>
      <c r="H204" s="45"/>
      <c r="I204" s="56"/>
      <c r="J204" s="45"/>
      <c r="K204" s="45"/>
      <c r="L204" s="45"/>
      <c r="M204" s="45"/>
      <c r="N204" s="45"/>
      <c r="O204" s="45"/>
      <c r="P204" s="45"/>
    </row>
    <row r="205" spans="1:16">
      <c r="A205" s="45"/>
      <c r="B205" s="45"/>
      <c r="C205" s="45"/>
      <c r="D205" s="45"/>
      <c r="E205" s="45"/>
      <c r="F205" s="45"/>
      <c r="G205" s="45"/>
      <c r="H205" s="45"/>
      <c r="I205" s="56"/>
      <c r="J205" s="45"/>
      <c r="K205" s="45"/>
      <c r="L205" s="45"/>
      <c r="M205" s="45"/>
      <c r="N205" s="45"/>
      <c r="O205" s="45"/>
      <c r="P205" s="45"/>
    </row>
    <row r="206" spans="1:16">
      <c r="A206" s="45"/>
      <c r="B206" s="45"/>
      <c r="C206" s="45"/>
      <c r="D206" s="45"/>
      <c r="E206" s="45"/>
      <c r="F206" s="45"/>
      <c r="G206" s="45"/>
      <c r="H206" s="45"/>
      <c r="I206" s="56"/>
      <c r="J206" s="45"/>
      <c r="K206" s="45"/>
      <c r="L206" s="45"/>
      <c r="M206" s="45"/>
      <c r="N206" s="45"/>
      <c r="O206" s="45"/>
      <c r="P206" s="45"/>
    </row>
    <row r="207" spans="1:16">
      <c r="A207" s="45"/>
      <c r="B207" s="45"/>
      <c r="C207" s="45"/>
      <c r="D207" s="45"/>
      <c r="E207" s="45"/>
      <c r="F207" s="45"/>
      <c r="G207" s="45"/>
      <c r="H207" s="45"/>
      <c r="I207" s="56"/>
      <c r="J207" s="45"/>
      <c r="K207" s="45"/>
      <c r="L207" s="45"/>
      <c r="M207" s="45"/>
      <c r="N207" s="45"/>
      <c r="O207" s="45"/>
      <c r="P207" s="45"/>
    </row>
    <row r="208" spans="1:16">
      <c r="A208" s="45"/>
      <c r="B208" s="45"/>
      <c r="C208" s="45"/>
      <c r="D208" s="45"/>
      <c r="E208" s="45"/>
      <c r="F208" s="45"/>
      <c r="G208" s="45"/>
      <c r="H208" s="45"/>
      <c r="I208" s="56"/>
      <c r="J208" s="45"/>
      <c r="K208" s="45"/>
      <c r="L208" s="45"/>
      <c r="M208" s="45"/>
      <c r="N208" s="45"/>
      <c r="O208" s="45"/>
      <c r="P208" s="45"/>
    </row>
    <row r="209" spans="1:16">
      <c r="A209" s="45"/>
      <c r="B209" s="45"/>
      <c r="C209" s="45"/>
      <c r="D209" s="45"/>
      <c r="E209" s="45"/>
      <c r="F209" s="45"/>
      <c r="G209" s="45"/>
      <c r="H209" s="45"/>
      <c r="I209" s="56"/>
      <c r="J209" s="45"/>
      <c r="K209" s="45"/>
      <c r="L209" s="45"/>
      <c r="M209" s="45"/>
      <c r="N209" s="45"/>
      <c r="O209" s="45"/>
      <c r="P209" s="45"/>
    </row>
    <row r="210" spans="1:16">
      <c r="A210" s="45"/>
      <c r="B210" s="45"/>
      <c r="C210" s="45"/>
      <c r="D210" s="45"/>
      <c r="E210" s="45"/>
      <c r="F210" s="45"/>
      <c r="G210" s="45"/>
      <c r="H210" s="45"/>
      <c r="I210" s="56"/>
      <c r="J210" s="45"/>
      <c r="K210" s="45"/>
      <c r="L210" s="45"/>
      <c r="M210" s="45"/>
      <c r="N210" s="45"/>
      <c r="O210" s="45"/>
      <c r="P210" s="45"/>
    </row>
    <row r="211" spans="1:16">
      <c r="A211" s="45"/>
      <c r="B211" s="45"/>
      <c r="C211" s="45"/>
      <c r="D211" s="45"/>
      <c r="E211" s="45"/>
      <c r="F211" s="45"/>
      <c r="G211" s="45"/>
      <c r="H211" s="45"/>
      <c r="I211" s="56"/>
      <c r="J211" s="45"/>
      <c r="K211" s="45"/>
      <c r="L211" s="45"/>
      <c r="M211" s="45"/>
      <c r="N211" s="45"/>
      <c r="O211" s="45"/>
      <c r="P211" s="45"/>
    </row>
    <row r="212" spans="1:16">
      <c r="A212" s="45"/>
      <c r="B212" s="45"/>
      <c r="C212" s="45"/>
      <c r="D212" s="45"/>
      <c r="E212" s="45"/>
      <c r="F212" s="45"/>
      <c r="G212" s="45"/>
      <c r="H212" s="45"/>
      <c r="I212" s="56"/>
      <c r="J212" s="45"/>
      <c r="K212" s="45"/>
      <c r="L212" s="45"/>
      <c r="M212" s="45"/>
      <c r="N212" s="45"/>
      <c r="O212" s="45"/>
      <c r="P212" s="45"/>
    </row>
    <row r="213" spans="1:16">
      <c r="A213" s="45"/>
      <c r="B213" s="45"/>
      <c r="C213" s="45"/>
      <c r="D213" s="45"/>
      <c r="E213" s="45"/>
      <c r="F213" s="45"/>
      <c r="G213" s="45"/>
      <c r="H213" s="45"/>
      <c r="I213" s="56"/>
      <c r="J213" s="45"/>
      <c r="K213" s="45"/>
      <c r="L213" s="45"/>
      <c r="M213" s="45"/>
      <c r="N213" s="45"/>
      <c r="O213" s="45"/>
      <c r="P213" s="45"/>
    </row>
    <row r="214" spans="1:16">
      <c r="A214" s="45"/>
      <c r="B214" s="45"/>
      <c r="C214" s="45"/>
      <c r="D214" s="45"/>
      <c r="E214" s="45"/>
      <c r="F214" s="45"/>
      <c r="G214" s="45"/>
      <c r="H214" s="45"/>
      <c r="I214" s="56"/>
      <c r="J214" s="45"/>
      <c r="K214" s="45"/>
      <c r="L214" s="45"/>
      <c r="M214" s="45"/>
      <c r="N214" s="45"/>
      <c r="O214" s="45"/>
      <c r="P214" s="45"/>
    </row>
    <row r="215" spans="1:16">
      <c r="A215" s="45"/>
      <c r="B215" s="45"/>
      <c r="C215" s="45"/>
      <c r="D215" s="45"/>
      <c r="E215" s="45"/>
      <c r="F215" s="45"/>
      <c r="G215" s="45"/>
      <c r="H215" s="45"/>
      <c r="I215" s="56"/>
      <c r="J215" s="45"/>
      <c r="K215" s="45"/>
      <c r="L215" s="45"/>
      <c r="M215" s="45"/>
      <c r="N215" s="45"/>
      <c r="O215" s="45"/>
      <c r="P215" s="45"/>
    </row>
    <row r="216" spans="1:16">
      <c r="A216" s="45"/>
      <c r="B216" s="45"/>
      <c r="C216" s="45"/>
      <c r="D216" s="45"/>
      <c r="E216" s="45"/>
      <c r="F216" s="45"/>
      <c r="G216" s="45"/>
      <c r="H216" s="45"/>
      <c r="I216" s="56"/>
      <c r="J216" s="45"/>
      <c r="K216" s="45"/>
      <c r="L216" s="45"/>
      <c r="M216" s="45"/>
      <c r="N216" s="45"/>
      <c r="O216" s="45"/>
      <c r="P216" s="45"/>
    </row>
    <row r="217" spans="1:16">
      <c r="A217" s="45"/>
      <c r="B217" s="45"/>
      <c r="C217" s="45"/>
      <c r="D217" s="45"/>
      <c r="E217" s="45"/>
      <c r="F217" s="45"/>
      <c r="G217" s="45"/>
      <c r="H217" s="45"/>
      <c r="I217" s="56"/>
      <c r="J217" s="45"/>
      <c r="K217" s="45"/>
      <c r="L217" s="45"/>
      <c r="M217" s="45"/>
      <c r="N217" s="45"/>
      <c r="O217" s="45"/>
      <c r="P217" s="45"/>
    </row>
    <row r="218" spans="1:16">
      <c r="A218" s="45"/>
      <c r="B218" s="45"/>
      <c r="C218" s="45"/>
      <c r="D218" s="45"/>
      <c r="E218" s="45"/>
      <c r="F218" s="45"/>
      <c r="G218" s="45"/>
      <c r="H218" s="45"/>
      <c r="I218" s="56"/>
      <c r="J218" s="45"/>
      <c r="K218" s="45"/>
      <c r="L218" s="45"/>
      <c r="M218" s="45"/>
      <c r="N218" s="45"/>
      <c r="O218" s="45"/>
      <c r="P218" s="45"/>
    </row>
    <row r="219" spans="1:16">
      <c r="A219" s="45"/>
      <c r="B219" s="45"/>
      <c r="C219" s="45"/>
      <c r="D219" s="45"/>
      <c r="E219" s="45"/>
      <c r="F219" s="45"/>
      <c r="G219" s="45"/>
      <c r="H219" s="45"/>
      <c r="I219" s="56"/>
      <c r="J219" s="45"/>
      <c r="K219" s="45"/>
      <c r="L219" s="45"/>
      <c r="M219" s="45"/>
      <c r="N219" s="45"/>
      <c r="O219" s="45"/>
      <c r="P219" s="45"/>
    </row>
    <row r="220" spans="1:16">
      <c r="A220" s="45"/>
      <c r="B220" s="45"/>
      <c r="C220" s="45"/>
      <c r="D220" s="45"/>
      <c r="E220" s="45"/>
      <c r="F220" s="45"/>
      <c r="G220" s="45"/>
      <c r="H220" s="45"/>
      <c r="I220" s="56"/>
      <c r="J220" s="45"/>
      <c r="K220" s="45"/>
      <c r="L220" s="45"/>
      <c r="M220" s="45"/>
      <c r="N220" s="45"/>
      <c r="O220" s="45"/>
      <c r="P220" s="45"/>
    </row>
    <row r="221" spans="1:16">
      <c r="A221" s="45"/>
      <c r="B221" s="45"/>
      <c r="C221" s="45"/>
      <c r="D221" s="45"/>
      <c r="E221" s="45"/>
      <c r="F221" s="45"/>
      <c r="G221" s="45"/>
      <c r="H221" s="45"/>
      <c r="I221" s="56"/>
      <c r="J221" s="45"/>
      <c r="K221" s="45"/>
      <c r="L221" s="45"/>
      <c r="M221" s="45"/>
      <c r="N221" s="45"/>
      <c r="O221" s="45"/>
      <c r="P221" s="45"/>
    </row>
    <row r="222" spans="1:16">
      <c r="A222" s="45"/>
      <c r="B222" s="45"/>
      <c r="C222" s="45"/>
      <c r="D222" s="45"/>
      <c r="E222" s="45"/>
      <c r="F222" s="45"/>
      <c r="G222" s="45"/>
      <c r="H222" s="45"/>
      <c r="I222" s="56"/>
      <c r="J222" s="45"/>
      <c r="K222" s="45"/>
      <c r="L222" s="45"/>
      <c r="M222" s="45"/>
      <c r="N222" s="45"/>
      <c r="O222" s="45"/>
      <c r="P222" s="45"/>
    </row>
    <row r="223" spans="1:16">
      <c r="A223" s="45"/>
      <c r="B223" s="45"/>
      <c r="C223" s="45"/>
      <c r="D223" s="45"/>
      <c r="E223" s="45"/>
      <c r="F223" s="45"/>
      <c r="G223" s="45"/>
      <c r="H223" s="45"/>
      <c r="I223" s="56"/>
      <c r="J223" s="45"/>
      <c r="K223" s="45"/>
      <c r="L223" s="45"/>
      <c r="M223" s="45"/>
      <c r="N223" s="45"/>
      <c r="O223" s="45"/>
      <c r="P223" s="45"/>
    </row>
    <row r="224" spans="1:16">
      <c r="A224" s="45"/>
      <c r="B224" s="45"/>
      <c r="C224" s="45"/>
      <c r="D224" s="45"/>
      <c r="E224" s="45"/>
      <c r="F224" s="45"/>
      <c r="G224" s="45"/>
      <c r="H224" s="45"/>
      <c r="I224" s="56"/>
      <c r="J224" s="45"/>
      <c r="K224" s="45"/>
      <c r="L224" s="45"/>
      <c r="M224" s="45"/>
      <c r="N224" s="45"/>
      <c r="O224" s="45"/>
      <c r="P224" s="45"/>
    </row>
    <row r="225" spans="1:16">
      <c r="A225" s="45"/>
      <c r="B225" s="45"/>
      <c r="C225" s="45"/>
      <c r="D225" s="45"/>
      <c r="E225" s="45"/>
      <c r="F225" s="45"/>
      <c r="G225" s="45"/>
      <c r="H225" s="45"/>
      <c r="I225" s="56"/>
      <c r="J225" s="45"/>
      <c r="K225" s="45"/>
      <c r="L225" s="45"/>
      <c r="M225" s="45"/>
      <c r="N225" s="45"/>
      <c r="O225" s="45"/>
      <c r="P225" s="45"/>
    </row>
    <row r="226" spans="1:16">
      <c r="A226" s="45"/>
      <c r="B226" s="45"/>
      <c r="C226" s="45"/>
      <c r="D226" s="45"/>
      <c r="E226" s="45"/>
      <c r="F226" s="45"/>
      <c r="G226" s="45"/>
      <c r="H226" s="45"/>
      <c r="I226" s="56"/>
      <c r="J226" s="45"/>
      <c r="K226" s="45"/>
      <c r="L226" s="45"/>
      <c r="M226" s="45"/>
      <c r="N226" s="45"/>
      <c r="O226" s="45"/>
      <c r="P226" s="45"/>
    </row>
    <row r="227" spans="1:16">
      <c r="A227" s="45"/>
      <c r="B227" s="45"/>
      <c r="C227" s="45"/>
      <c r="D227" s="45"/>
      <c r="E227" s="45"/>
      <c r="F227" s="45"/>
      <c r="G227" s="45"/>
      <c r="H227" s="45"/>
      <c r="I227" s="56"/>
      <c r="J227" s="45"/>
      <c r="K227" s="45"/>
      <c r="L227" s="45"/>
      <c r="M227" s="45"/>
      <c r="N227" s="45"/>
      <c r="O227" s="45"/>
      <c r="P227" s="45"/>
    </row>
    <row r="228" spans="1:16">
      <c r="A228" s="45"/>
      <c r="B228" s="45"/>
      <c r="C228" s="45"/>
      <c r="D228" s="45"/>
      <c r="E228" s="45"/>
      <c r="F228" s="45"/>
      <c r="G228" s="45"/>
      <c r="H228" s="45"/>
      <c r="I228" s="56"/>
      <c r="J228" s="45"/>
      <c r="K228" s="45"/>
      <c r="L228" s="45"/>
      <c r="M228" s="45"/>
      <c r="N228" s="45"/>
      <c r="O228" s="45"/>
      <c r="P228" s="45"/>
    </row>
    <row r="229" spans="1:16">
      <c r="A229" s="45"/>
      <c r="B229" s="45"/>
      <c r="C229" s="45"/>
      <c r="D229" s="45"/>
      <c r="E229" s="45"/>
      <c r="F229" s="45"/>
      <c r="G229" s="45"/>
      <c r="H229" s="45"/>
      <c r="I229" s="56"/>
      <c r="J229" s="45"/>
      <c r="K229" s="45"/>
      <c r="L229" s="45"/>
      <c r="M229" s="45"/>
      <c r="N229" s="45"/>
      <c r="O229" s="45"/>
      <c r="P229" s="45"/>
    </row>
    <row r="230" spans="1:16">
      <c r="A230" s="45"/>
      <c r="B230" s="45"/>
      <c r="C230" s="45"/>
      <c r="D230" s="45"/>
      <c r="E230" s="45"/>
      <c r="F230" s="45"/>
      <c r="G230" s="45"/>
      <c r="H230" s="45"/>
      <c r="I230" s="56"/>
      <c r="J230" s="45"/>
      <c r="K230" s="45"/>
      <c r="L230" s="45"/>
      <c r="M230" s="45"/>
      <c r="N230" s="45"/>
      <c r="O230" s="45"/>
      <c r="P230" s="45"/>
    </row>
    <row r="231" spans="1:16">
      <c r="A231" s="45"/>
      <c r="B231" s="45"/>
      <c r="C231" s="45"/>
      <c r="D231" s="45"/>
      <c r="E231" s="45"/>
      <c r="F231" s="45"/>
      <c r="G231" s="45"/>
      <c r="H231" s="45"/>
      <c r="I231" s="56"/>
      <c r="J231" s="45"/>
      <c r="K231" s="45"/>
      <c r="L231" s="45"/>
      <c r="M231" s="45"/>
      <c r="N231" s="45"/>
      <c r="O231" s="45"/>
      <c r="P231" s="45"/>
    </row>
    <row r="232" spans="1:16">
      <c r="A232" s="45"/>
      <c r="B232" s="45"/>
      <c r="C232" s="45"/>
      <c r="D232" s="45"/>
      <c r="E232" s="45"/>
      <c r="F232" s="45"/>
      <c r="G232" s="45"/>
      <c r="H232" s="45"/>
      <c r="I232" s="56"/>
      <c r="J232" s="45"/>
      <c r="K232" s="45"/>
      <c r="L232" s="45"/>
      <c r="M232" s="45"/>
      <c r="N232" s="45"/>
      <c r="O232" s="45"/>
      <c r="P232" s="45"/>
    </row>
    <row r="233" spans="1:16">
      <c r="A233" s="45"/>
      <c r="B233" s="45"/>
      <c r="C233" s="45"/>
      <c r="D233" s="45"/>
      <c r="E233" s="45"/>
      <c r="F233" s="45"/>
      <c r="G233" s="45"/>
      <c r="H233" s="45"/>
      <c r="I233" s="56"/>
      <c r="J233" s="45"/>
      <c r="K233" s="45"/>
      <c r="L233" s="45"/>
      <c r="M233" s="45"/>
      <c r="N233" s="45"/>
      <c r="O233" s="45"/>
      <c r="P233" s="45"/>
    </row>
    <row r="234" spans="1:16">
      <c r="A234" s="45"/>
      <c r="B234" s="45"/>
      <c r="C234" s="45"/>
      <c r="D234" s="45"/>
      <c r="E234" s="45"/>
      <c r="F234" s="45"/>
      <c r="G234" s="45"/>
      <c r="H234" s="45"/>
      <c r="I234" s="56"/>
      <c r="J234" s="45"/>
      <c r="K234" s="45"/>
      <c r="L234" s="45"/>
      <c r="M234" s="45"/>
      <c r="N234" s="45"/>
      <c r="O234" s="45"/>
      <c r="P234" s="45"/>
    </row>
    <row r="235" spans="1:16">
      <c r="A235" s="45"/>
      <c r="B235" s="45"/>
      <c r="C235" s="45"/>
      <c r="D235" s="45"/>
      <c r="E235" s="45"/>
      <c r="F235" s="45"/>
      <c r="G235" s="45"/>
      <c r="H235" s="45"/>
      <c r="I235" s="56"/>
      <c r="J235" s="45"/>
      <c r="K235" s="45"/>
      <c r="L235" s="45"/>
      <c r="M235" s="45"/>
      <c r="N235" s="45"/>
      <c r="O235" s="45"/>
      <c r="P235" s="45"/>
    </row>
    <row r="236" spans="1:16">
      <c r="A236" s="45"/>
      <c r="B236" s="45"/>
      <c r="C236" s="45"/>
      <c r="D236" s="45"/>
      <c r="E236" s="45"/>
      <c r="F236" s="45"/>
      <c r="G236" s="45"/>
      <c r="H236" s="45"/>
      <c r="I236" s="56"/>
      <c r="J236" s="45"/>
      <c r="K236" s="45"/>
      <c r="L236" s="45"/>
      <c r="M236" s="45"/>
      <c r="N236" s="45"/>
      <c r="O236" s="45"/>
      <c r="P236" s="45"/>
    </row>
    <row r="237" spans="1:16">
      <c r="A237" s="45"/>
      <c r="B237" s="45"/>
      <c r="C237" s="45"/>
      <c r="D237" s="45"/>
      <c r="E237" s="45"/>
      <c r="F237" s="45"/>
      <c r="G237" s="45"/>
      <c r="H237" s="45"/>
      <c r="I237" s="56"/>
      <c r="J237" s="45"/>
      <c r="K237" s="45"/>
      <c r="L237" s="45"/>
      <c r="M237" s="45"/>
      <c r="N237" s="45"/>
      <c r="O237" s="45"/>
      <c r="P237" s="45"/>
    </row>
    <row r="238" spans="1:16">
      <c r="A238" s="45"/>
      <c r="B238" s="45"/>
      <c r="C238" s="45"/>
      <c r="D238" s="45"/>
      <c r="E238" s="45"/>
      <c r="F238" s="45"/>
      <c r="G238" s="45"/>
      <c r="H238" s="45"/>
      <c r="I238" s="56"/>
      <c r="J238" s="45"/>
      <c r="K238" s="45"/>
      <c r="L238" s="45"/>
      <c r="M238" s="45"/>
      <c r="N238" s="45"/>
      <c r="O238" s="45"/>
      <c r="P238" s="45"/>
    </row>
    <row r="239" spans="1:16">
      <c r="A239" s="45"/>
      <c r="B239" s="45"/>
      <c r="C239" s="45"/>
      <c r="D239" s="45"/>
      <c r="E239" s="45"/>
      <c r="F239" s="45"/>
      <c r="G239" s="45"/>
      <c r="H239" s="45"/>
      <c r="I239" s="56"/>
      <c r="J239" s="45"/>
      <c r="K239" s="45"/>
      <c r="L239" s="45"/>
      <c r="M239" s="45"/>
      <c r="N239" s="45"/>
      <c r="O239" s="45"/>
      <c r="P239" s="45"/>
    </row>
    <row r="240" spans="1:16">
      <c r="A240" s="45"/>
      <c r="B240" s="45"/>
      <c r="C240" s="45"/>
      <c r="D240" s="45"/>
      <c r="E240" s="45"/>
      <c r="F240" s="45"/>
      <c r="G240" s="45"/>
      <c r="H240" s="45"/>
      <c r="I240" s="56"/>
      <c r="J240" s="45"/>
      <c r="K240" s="45"/>
      <c r="L240" s="45"/>
      <c r="M240" s="45"/>
      <c r="N240" s="45"/>
      <c r="O240" s="45"/>
      <c r="P240" s="45"/>
    </row>
    <row r="241" spans="1:16">
      <c r="A241" s="45"/>
      <c r="B241" s="45"/>
      <c r="C241" s="45"/>
      <c r="D241" s="45"/>
      <c r="E241" s="45"/>
      <c r="F241" s="45"/>
      <c r="G241" s="45"/>
      <c r="H241" s="45"/>
      <c r="I241" s="56"/>
      <c r="J241" s="45"/>
      <c r="K241" s="45"/>
      <c r="L241" s="45"/>
      <c r="M241" s="45"/>
      <c r="N241" s="45"/>
      <c r="O241" s="45"/>
      <c r="P241" s="45"/>
    </row>
    <row r="242" spans="1:16">
      <c r="A242" s="45"/>
      <c r="B242" s="45"/>
      <c r="C242" s="45"/>
      <c r="D242" s="45"/>
      <c r="E242" s="45"/>
      <c r="F242" s="45"/>
      <c r="G242" s="45"/>
      <c r="H242" s="45"/>
      <c r="I242" s="56"/>
      <c r="J242" s="45"/>
      <c r="K242" s="45"/>
      <c r="L242" s="45"/>
      <c r="M242" s="45"/>
      <c r="N242" s="45"/>
      <c r="O242" s="45"/>
      <c r="P242" s="45"/>
    </row>
    <row r="243" spans="1:16">
      <c r="A243" s="45"/>
      <c r="B243" s="45"/>
      <c r="C243" s="45"/>
      <c r="D243" s="45"/>
      <c r="E243" s="45"/>
      <c r="F243" s="45"/>
      <c r="G243" s="45"/>
      <c r="H243" s="45"/>
      <c r="I243" s="56"/>
      <c r="J243" s="45"/>
      <c r="K243" s="45"/>
      <c r="L243" s="45"/>
      <c r="M243" s="45"/>
      <c r="N243" s="45"/>
      <c r="O243" s="45"/>
      <c r="P243" s="45"/>
    </row>
    <row r="244" spans="1:16">
      <c r="A244" s="45"/>
      <c r="B244" s="45"/>
      <c r="C244" s="45"/>
      <c r="D244" s="45"/>
      <c r="E244" s="45"/>
      <c r="F244" s="45"/>
      <c r="G244" s="45"/>
      <c r="H244" s="45"/>
      <c r="I244" s="56"/>
      <c r="J244" s="45"/>
      <c r="K244" s="45"/>
      <c r="L244" s="45"/>
      <c r="M244" s="45"/>
      <c r="N244" s="45"/>
      <c r="O244" s="45"/>
      <c r="P244" s="45"/>
    </row>
    <row r="245" spans="1:16">
      <c r="A245" s="45"/>
      <c r="B245" s="45"/>
      <c r="C245" s="45"/>
      <c r="D245" s="45"/>
      <c r="E245" s="45"/>
      <c r="F245" s="45"/>
      <c r="G245" s="45"/>
      <c r="H245" s="45"/>
      <c r="I245" s="56"/>
      <c r="J245" s="45"/>
      <c r="K245" s="45"/>
      <c r="L245" s="45"/>
      <c r="M245" s="45"/>
      <c r="N245" s="45"/>
      <c r="O245" s="45"/>
      <c r="P245" s="45"/>
    </row>
    <row r="246" spans="1:16">
      <c r="A246" s="45"/>
      <c r="B246" s="45"/>
      <c r="C246" s="45"/>
      <c r="D246" s="45"/>
      <c r="E246" s="45"/>
      <c r="F246" s="45"/>
      <c r="G246" s="45"/>
      <c r="H246" s="45"/>
      <c r="I246" s="56"/>
      <c r="J246" s="45"/>
      <c r="K246" s="45"/>
      <c r="L246" s="45"/>
      <c r="M246" s="45"/>
      <c r="N246" s="45"/>
      <c r="O246" s="45"/>
      <c r="P246" s="45"/>
    </row>
    <row r="247" spans="1:16">
      <c r="A247" s="45"/>
      <c r="B247" s="45"/>
      <c r="C247" s="45"/>
      <c r="D247" s="45"/>
      <c r="E247" s="45"/>
      <c r="F247" s="45"/>
      <c r="G247" s="45"/>
      <c r="H247" s="45"/>
      <c r="I247" s="56"/>
      <c r="J247" s="45"/>
      <c r="K247" s="45"/>
      <c r="L247" s="45"/>
      <c r="M247" s="45"/>
      <c r="N247" s="45"/>
      <c r="O247" s="45"/>
      <c r="P247" s="45"/>
    </row>
    <row r="248" spans="1:16">
      <c r="A248" s="45"/>
      <c r="B248" s="45"/>
      <c r="C248" s="45"/>
      <c r="D248" s="45"/>
      <c r="E248" s="45"/>
      <c r="F248" s="45"/>
      <c r="G248" s="45"/>
      <c r="H248" s="45"/>
      <c r="I248" s="56"/>
      <c r="J248" s="45"/>
      <c r="K248" s="45"/>
      <c r="L248" s="45"/>
      <c r="M248" s="45"/>
      <c r="N248" s="45"/>
      <c r="O248" s="45"/>
      <c r="P248" s="45"/>
    </row>
    <row r="249" spans="1:16">
      <c r="A249" s="45"/>
      <c r="B249" s="45"/>
      <c r="C249" s="45"/>
      <c r="D249" s="45"/>
      <c r="E249" s="45"/>
      <c r="F249" s="45"/>
      <c r="G249" s="45"/>
      <c r="H249" s="45"/>
      <c r="I249" s="56"/>
      <c r="J249" s="45"/>
      <c r="K249" s="45"/>
      <c r="L249" s="45"/>
      <c r="M249" s="45"/>
      <c r="N249" s="45"/>
      <c r="O249" s="45"/>
      <c r="P249" s="45"/>
    </row>
    <row r="250" spans="1:16">
      <c r="A250" s="45"/>
      <c r="B250" s="45"/>
      <c r="C250" s="45"/>
      <c r="D250" s="45"/>
      <c r="E250" s="45"/>
      <c r="F250" s="45"/>
      <c r="G250" s="45"/>
      <c r="H250" s="45"/>
      <c r="I250" s="56"/>
      <c r="J250" s="45"/>
      <c r="K250" s="45"/>
      <c r="L250" s="45"/>
      <c r="M250" s="45"/>
      <c r="N250" s="45"/>
      <c r="O250" s="45"/>
      <c r="P250" s="45"/>
    </row>
    <row r="251" spans="1:16">
      <c r="A251" s="45"/>
      <c r="B251" s="45"/>
      <c r="C251" s="45"/>
      <c r="D251" s="45"/>
      <c r="E251" s="45"/>
      <c r="F251" s="45"/>
      <c r="G251" s="45"/>
      <c r="H251" s="45"/>
      <c r="I251" s="56"/>
      <c r="J251" s="45"/>
      <c r="K251" s="45"/>
      <c r="L251" s="45"/>
      <c r="M251" s="45"/>
      <c r="N251" s="45"/>
      <c r="O251" s="45"/>
      <c r="P251" s="45"/>
    </row>
    <row r="252" spans="1:16">
      <c r="A252" s="45"/>
      <c r="B252" s="45"/>
      <c r="C252" s="45"/>
      <c r="D252" s="45"/>
      <c r="E252" s="45"/>
      <c r="F252" s="45"/>
      <c r="G252" s="45"/>
      <c r="H252" s="45"/>
      <c r="I252" s="56"/>
      <c r="J252" s="45"/>
      <c r="K252" s="45"/>
      <c r="L252" s="45"/>
      <c r="M252" s="45"/>
      <c r="N252" s="45"/>
      <c r="O252" s="45"/>
      <c r="P252" s="45"/>
    </row>
    <row r="253" spans="1:16">
      <c r="A253" s="45"/>
      <c r="B253" s="45"/>
      <c r="C253" s="45"/>
      <c r="D253" s="45"/>
      <c r="E253" s="45"/>
      <c r="F253" s="45"/>
      <c r="G253" s="45"/>
      <c r="H253" s="45"/>
      <c r="I253" s="56"/>
      <c r="J253" s="45"/>
      <c r="K253" s="45"/>
      <c r="L253" s="45"/>
      <c r="M253" s="45"/>
      <c r="N253" s="45"/>
      <c r="O253" s="45"/>
      <c r="P253" s="45"/>
    </row>
    <row r="254" spans="1:16">
      <c r="A254" s="45"/>
      <c r="B254" s="45"/>
      <c r="C254" s="45"/>
      <c r="D254" s="45"/>
      <c r="E254" s="45"/>
      <c r="F254" s="45"/>
      <c r="G254" s="45"/>
      <c r="H254" s="45"/>
      <c r="I254" s="56"/>
      <c r="J254" s="45"/>
      <c r="K254" s="45"/>
      <c r="L254" s="45"/>
      <c r="M254" s="45"/>
      <c r="N254" s="45"/>
      <c r="O254" s="45"/>
      <c r="P254" s="45"/>
    </row>
    <row r="255" spans="1:16">
      <c r="A255" s="45"/>
      <c r="B255" s="45"/>
      <c r="C255" s="45"/>
      <c r="D255" s="45"/>
      <c r="E255" s="45"/>
      <c r="F255" s="45"/>
      <c r="G255" s="45"/>
      <c r="H255" s="45"/>
      <c r="I255" s="56"/>
      <c r="J255" s="45"/>
      <c r="K255" s="45"/>
      <c r="L255" s="45"/>
      <c r="M255" s="45"/>
      <c r="N255" s="45"/>
      <c r="O255" s="45"/>
      <c r="P255" s="45"/>
    </row>
    <row r="256" spans="1:16">
      <c r="A256" s="45"/>
      <c r="B256" s="45"/>
      <c r="C256" s="45"/>
      <c r="D256" s="45"/>
      <c r="E256" s="45"/>
      <c r="F256" s="45"/>
      <c r="G256" s="45"/>
      <c r="H256" s="45"/>
      <c r="I256" s="56"/>
      <c r="J256" s="45"/>
      <c r="K256" s="45"/>
      <c r="L256" s="45"/>
      <c r="M256" s="45"/>
      <c r="N256" s="45"/>
      <c r="O256" s="45"/>
      <c r="P256" s="45"/>
    </row>
    <row r="257" spans="1:16">
      <c r="A257" s="45"/>
      <c r="B257" s="45"/>
      <c r="C257" s="45"/>
      <c r="D257" s="45"/>
      <c r="E257" s="45"/>
      <c r="F257" s="45"/>
      <c r="G257" s="45"/>
      <c r="H257" s="45"/>
      <c r="I257" s="56"/>
      <c r="J257" s="45"/>
      <c r="K257" s="45"/>
      <c r="L257" s="45"/>
      <c r="M257" s="45"/>
      <c r="N257" s="45"/>
      <c r="O257" s="45"/>
      <c r="P257" s="45"/>
    </row>
    <row r="258" spans="1:16">
      <c r="A258" s="45"/>
      <c r="B258" s="45"/>
      <c r="C258" s="45"/>
      <c r="D258" s="45"/>
      <c r="E258" s="45"/>
      <c r="F258" s="45"/>
      <c r="G258" s="45"/>
      <c r="H258" s="45"/>
      <c r="I258" s="56"/>
      <c r="J258" s="45"/>
      <c r="K258" s="45"/>
      <c r="L258" s="45"/>
      <c r="M258" s="45"/>
      <c r="N258" s="45"/>
      <c r="O258" s="45"/>
      <c r="P258" s="45"/>
    </row>
    <row r="259" spans="1:16">
      <c r="A259" s="45"/>
      <c r="B259" s="45"/>
      <c r="C259" s="45"/>
      <c r="D259" s="45"/>
      <c r="E259" s="45"/>
      <c r="F259" s="45"/>
      <c r="G259" s="45"/>
      <c r="H259" s="45"/>
      <c r="I259" s="56"/>
      <c r="J259" s="45"/>
      <c r="K259" s="45"/>
      <c r="L259" s="45"/>
      <c r="M259" s="45"/>
      <c r="N259" s="45"/>
      <c r="O259" s="45"/>
      <c r="P259" s="45"/>
    </row>
    <row r="260" spans="1:16">
      <c r="A260" s="45"/>
      <c r="B260" s="45"/>
      <c r="C260" s="45"/>
      <c r="D260" s="45"/>
      <c r="E260" s="45"/>
      <c r="F260" s="45"/>
      <c r="G260" s="45"/>
      <c r="H260" s="45"/>
      <c r="I260" s="56"/>
      <c r="J260" s="45"/>
      <c r="K260" s="45"/>
      <c r="L260" s="45"/>
      <c r="M260" s="45"/>
      <c r="N260" s="45"/>
      <c r="O260" s="45"/>
      <c r="P260" s="45"/>
    </row>
    <row r="261" spans="1:16">
      <c r="A261" s="45"/>
      <c r="B261" s="45"/>
      <c r="C261" s="45"/>
      <c r="D261" s="45"/>
      <c r="E261" s="45"/>
      <c r="F261" s="45"/>
      <c r="G261" s="45"/>
      <c r="H261" s="45"/>
      <c r="I261" s="56"/>
      <c r="J261" s="45"/>
      <c r="K261" s="45"/>
      <c r="L261" s="45"/>
      <c r="M261" s="45"/>
      <c r="N261" s="45"/>
      <c r="O261" s="45"/>
      <c r="P261" s="45"/>
    </row>
    <row r="262" spans="1:16">
      <c r="A262" s="45"/>
      <c r="B262" s="45"/>
      <c r="C262" s="45"/>
      <c r="D262" s="45"/>
      <c r="E262" s="45"/>
      <c r="F262" s="45"/>
      <c r="G262" s="45"/>
      <c r="H262" s="45"/>
      <c r="I262" s="56"/>
      <c r="J262" s="45"/>
      <c r="K262" s="45"/>
      <c r="L262" s="45"/>
      <c r="M262" s="45"/>
      <c r="N262" s="45"/>
      <c r="O262" s="45"/>
      <c r="P262" s="45"/>
    </row>
    <row r="263" spans="1:16">
      <c r="A263" s="45"/>
      <c r="B263" s="45"/>
      <c r="C263" s="45"/>
      <c r="D263" s="45"/>
      <c r="E263" s="45"/>
      <c r="F263" s="45"/>
      <c r="G263" s="45"/>
      <c r="H263" s="45"/>
      <c r="I263" s="56"/>
      <c r="J263" s="45"/>
      <c r="K263" s="45"/>
      <c r="L263" s="45"/>
      <c r="M263" s="45"/>
      <c r="N263" s="45"/>
      <c r="O263" s="45"/>
      <c r="P263" s="45"/>
    </row>
    <row r="264" spans="1:16">
      <c r="A264" s="45"/>
      <c r="B264" s="45"/>
      <c r="C264" s="45"/>
      <c r="D264" s="45"/>
      <c r="E264" s="45"/>
      <c r="F264" s="45"/>
      <c r="G264" s="45"/>
      <c r="H264" s="45"/>
      <c r="I264" s="56"/>
      <c r="J264" s="45"/>
      <c r="K264" s="45"/>
      <c r="L264" s="45"/>
      <c r="M264" s="45"/>
      <c r="N264" s="45"/>
      <c r="O264" s="45"/>
      <c r="P264" s="45"/>
    </row>
    <row r="265" spans="1:16">
      <c r="A265" s="45"/>
      <c r="B265" s="45"/>
      <c r="C265" s="45"/>
      <c r="D265" s="45"/>
      <c r="E265" s="45"/>
      <c r="F265" s="45"/>
      <c r="G265" s="45"/>
      <c r="H265" s="45"/>
      <c r="I265" s="56"/>
      <c r="J265" s="45"/>
      <c r="K265" s="45"/>
      <c r="L265" s="45"/>
      <c r="M265" s="45"/>
      <c r="N265" s="45"/>
      <c r="O265" s="45"/>
      <c r="P265" s="45"/>
    </row>
    <row r="266" spans="1:16">
      <c r="A266" s="45"/>
      <c r="B266" s="45"/>
      <c r="C266" s="45"/>
      <c r="D266" s="45"/>
      <c r="E266" s="45"/>
      <c r="F266" s="45"/>
      <c r="G266" s="45"/>
      <c r="H266" s="45"/>
      <c r="I266" s="56"/>
      <c r="J266" s="45"/>
      <c r="K266" s="45"/>
      <c r="L266" s="45"/>
      <c r="M266" s="45"/>
      <c r="N266" s="45"/>
      <c r="O266" s="45"/>
      <c r="P266" s="45"/>
    </row>
    <row r="267" spans="1:16">
      <c r="A267" s="45"/>
      <c r="B267" s="45"/>
      <c r="C267" s="45"/>
      <c r="D267" s="45"/>
      <c r="E267" s="45"/>
      <c r="F267" s="45"/>
      <c r="G267" s="45"/>
      <c r="H267" s="45"/>
      <c r="I267" s="56"/>
      <c r="J267" s="45"/>
      <c r="K267" s="45"/>
      <c r="L267" s="45"/>
      <c r="M267" s="45"/>
      <c r="N267" s="45"/>
      <c r="O267" s="45"/>
      <c r="P267" s="45"/>
    </row>
    <row r="268" spans="1:16">
      <c r="A268" s="45"/>
      <c r="B268" s="45"/>
      <c r="C268" s="45"/>
      <c r="D268" s="45"/>
      <c r="E268" s="45"/>
      <c r="F268" s="45"/>
      <c r="G268" s="45"/>
      <c r="H268" s="45"/>
      <c r="I268" s="56"/>
      <c r="J268" s="45"/>
      <c r="K268" s="45"/>
      <c r="L268" s="45"/>
      <c r="M268" s="45"/>
      <c r="N268" s="45"/>
      <c r="O268" s="45"/>
      <c r="P268" s="45"/>
    </row>
    <row r="269" spans="1:16">
      <c r="A269" s="45"/>
      <c r="B269" s="45"/>
      <c r="C269" s="45"/>
      <c r="D269" s="45"/>
      <c r="E269" s="45"/>
      <c r="F269" s="45"/>
      <c r="G269" s="45"/>
      <c r="H269" s="45"/>
      <c r="I269" s="56"/>
      <c r="J269" s="45"/>
      <c r="K269" s="45"/>
      <c r="L269" s="45"/>
      <c r="M269" s="45"/>
      <c r="N269" s="45"/>
      <c r="O269" s="45"/>
      <c r="P269" s="45"/>
    </row>
    <row r="270" spans="1:16">
      <c r="A270" s="45"/>
      <c r="B270" s="45"/>
      <c r="C270" s="45"/>
      <c r="D270" s="45"/>
      <c r="E270" s="45"/>
      <c r="F270" s="45"/>
      <c r="G270" s="45"/>
      <c r="H270" s="45"/>
      <c r="I270" s="56"/>
      <c r="J270" s="45"/>
      <c r="K270" s="45"/>
      <c r="L270" s="45"/>
      <c r="M270" s="45"/>
      <c r="N270" s="45"/>
      <c r="O270" s="45"/>
      <c r="P270" s="45"/>
    </row>
    <row r="271" spans="1:16">
      <c r="A271" s="45"/>
      <c r="B271" s="45"/>
      <c r="C271" s="45"/>
      <c r="D271" s="45"/>
      <c r="E271" s="45"/>
      <c r="F271" s="45"/>
      <c r="G271" s="45"/>
      <c r="H271" s="45"/>
      <c r="I271" s="56"/>
      <c r="J271" s="45"/>
      <c r="K271" s="45"/>
      <c r="L271" s="45"/>
      <c r="M271" s="45"/>
      <c r="N271" s="45"/>
      <c r="O271" s="45"/>
      <c r="P271" s="45"/>
    </row>
    <row r="272" spans="1:16">
      <c r="A272" s="45"/>
      <c r="B272" s="45"/>
      <c r="C272" s="45"/>
      <c r="D272" s="45"/>
      <c r="E272" s="45"/>
      <c r="F272" s="45"/>
      <c r="G272" s="45"/>
      <c r="H272" s="45"/>
      <c r="I272" s="56"/>
      <c r="J272" s="45"/>
      <c r="K272" s="45"/>
      <c r="L272" s="45"/>
      <c r="M272" s="45"/>
      <c r="N272" s="45"/>
      <c r="O272" s="45"/>
      <c r="P272" s="45"/>
    </row>
    <row r="273" spans="1:16">
      <c r="A273" s="45"/>
      <c r="B273" s="45"/>
      <c r="C273" s="45"/>
      <c r="D273" s="45"/>
      <c r="E273" s="45"/>
      <c r="F273" s="45"/>
      <c r="G273" s="45"/>
      <c r="H273" s="45"/>
      <c r="I273" s="56"/>
      <c r="J273" s="45"/>
      <c r="K273" s="45"/>
      <c r="L273" s="45"/>
      <c r="M273" s="45"/>
      <c r="N273" s="45"/>
      <c r="O273" s="45"/>
      <c r="P273" s="45"/>
    </row>
    <row r="274" spans="1:16">
      <c r="A274" s="45"/>
      <c r="B274" s="45"/>
      <c r="C274" s="45"/>
      <c r="D274" s="45"/>
      <c r="E274" s="45"/>
      <c r="F274" s="45"/>
      <c r="G274" s="45"/>
      <c r="H274" s="45"/>
      <c r="I274" s="56"/>
      <c r="J274" s="45"/>
      <c r="K274" s="45"/>
      <c r="L274" s="45"/>
      <c r="M274" s="45"/>
      <c r="N274" s="45"/>
      <c r="O274" s="45"/>
      <c r="P274" s="45"/>
    </row>
    <row r="275" spans="1:16">
      <c r="A275" s="45"/>
      <c r="B275" s="45"/>
      <c r="C275" s="45"/>
      <c r="D275" s="45"/>
      <c r="E275" s="45"/>
      <c r="F275" s="45"/>
      <c r="G275" s="45"/>
      <c r="H275" s="45"/>
      <c r="I275" s="56"/>
      <c r="J275" s="45"/>
      <c r="K275" s="45"/>
      <c r="L275" s="45"/>
      <c r="M275" s="45"/>
      <c r="N275" s="45"/>
      <c r="O275" s="45"/>
      <c r="P275" s="45"/>
    </row>
    <row r="276" spans="1:16">
      <c r="A276" s="45"/>
      <c r="B276" s="45"/>
      <c r="C276" s="45"/>
      <c r="D276" s="45"/>
      <c r="E276" s="45"/>
      <c r="F276" s="45"/>
      <c r="G276" s="45"/>
      <c r="H276" s="45"/>
      <c r="I276" s="56"/>
      <c r="J276" s="45"/>
      <c r="K276" s="45"/>
      <c r="L276" s="45"/>
      <c r="M276" s="45"/>
      <c r="N276" s="45"/>
      <c r="O276" s="45"/>
      <c r="P276" s="45"/>
    </row>
    <row r="277" spans="1:16">
      <c r="A277" s="45"/>
      <c r="B277" s="45"/>
      <c r="C277" s="45"/>
      <c r="D277" s="45"/>
      <c r="E277" s="45"/>
      <c r="F277" s="45"/>
      <c r="G277" s="45"/>
      <c r="H277" s="45"/>
      <c r="I277" s="56"/>
      <c r="J277" s="45"/>
      <c r="K277" s="45"/>
      <c r="L277" s="45"/>
      <c r="M277" s="45"/>
      <c r="N277" s="45"/>
      <c r="O277" s="45"/>
      <c r="P277" s="45"/>
    </row>
    <row r="278" spans="1:16">
      <c r="A278" s="45"/>
      <c r="B278" s="45"/>
      <c r="C278" s="45"/>
      <c r="D278" s="45"/>
      <c r="E278" s="45"/>
      <c r="F278" s="45"/>
      <c r="G278" s="45"/>
      <c r="H278" s="45"/>
      <c r="I278" s="56"/>
      <c r="J278" s="45"/>
      <c r="K278" s="45"/>
      <c r="L278" s="45"/>
      <c r="M278" s="45"/>
      <c r="N278" s="45"/>
      <c r="O278" s="45"/>
      <c r="P278" s="45"/>
    </row>
    <row r="279" spans="1:16">
      <c r="A279" s="45"/>
      <c r="B279" s="45"/>
      <c r="C279" s="45"/>
      <c r="D279" s="45"/>
      <c r="E279" s="45"/>
      <c r="F279" s="45"/>
      <c r="G279" s="45"/>
      <c r="H279" s="45"/>
      <c r="I279" s="56"/>
      <c r="J279" s="45"/>
      <c r="K279" s="45"/>
      <c r="L279" s="45"/>
      <c r="M279" s="45"/>
      <c r="N279" s="45"/>
      <c r="O279" s="45"/>
      <c r="P279" s="45"/>
    </row>
    <row r="280" spans="1:16">
      <c r="A280" s="45"/>
      <c r="B280" s="45"/>
      <c r="C280" s="45"/>
      <c r="D280" s="45"/>
      <c r="E280" s="45"/>
      <c r="F280" s="45"/>
      <c r="G280" s="45"/>
      <c r="H280" s="45"/>
      <c r="I280" s="56"/>
      <c r="J280" s="45"/>
      <c r="K280" s="45"/>
      <c r="L280" s="45"/>
      <c r="M280" s="45"/>
      <c r="N280" s="45"/>
      <c r="O280" s="45"/>
      <c r="P280" s="45"/>
    </row>
    <row r="281" spans="1:16">
      <c r="A281" s="45"/>
      <c r="B281" s="45"/>
      <c r="C281" s="45"/>
      <c r="D281" s="45"/>
      <c r="E281" s="45"/>
      <c r="F281" s="45"/>
      <c r="G281" s="45"/>
      <c r="H281" s="45"/>
      <c r="I281" s="56"/>
      <c r="J281" s="45"/>
      <c r="K281" s="45"/>
      <c r="L281" s="45"/>
      <c r="M281" s="45"/>
      <c r="N281" s="45"/>
      <c r="O281" s="45"/>
      <c r="P281" s="45"/>
    </row>
    <row r="282" spans="1:16">
      <c r="A282" s="45"/>
      <c r="B282" s="45"/>
      <c r="C282" s="45"/>
      <c r="D282" s="45"/>
      <c r="E282" s="45"/>
      <c r="F282" s="45"/>
      <c r="G282" s="45"/>
      <c r="H282" s="45"/>
      <c r="I282" s="56"/>
      <c r="J282" s="45"/>
      <c r="K282" s="45"/>
      <c r="L282" s="45"/>
      <c r="M282" s="45"/>
      <c r="N282" s="45"/>
      <c r="O282" s="45"/>
      <c r="P282" s="45"/>
    </row>
    <row r="283" spans="1:16">
      <c r="A283" s="45"/>
      <c r="B283" s="45"/>
      <c r="C283" s="45"/>
      <c r="D283" s="45"/>
      <c r="E283" s="45"/>
      <c r="F283" s="45"/>
      <c r="G283" s="45"/>
      <c r="H283" s="45"/>
      <c r="I283" s="56"/>
      <c r="J283" s="45"/>
      <c r="K283" s="45"/>
      <c r="L283" s="45"/>
      <c r="M283" s="45"/>
      <c r="N283" s="45"/>
      <c r="O283" s="45"/>
      <c r="P283" s="45"/>
    </row>
    <row r="284" spans="1:16">
      <c r="A284" s="45"/>
      <c r="B284" s="45"/>
      <c r="C284" s="45"/>
      <c r="D284" s="45"/>
      <c r="E284" s="45"/>
      <c r="F284" s="45"/>
      <c r="G284" s="45"/>
      <c r="H284" s="45"/>
      <c r="I284" s="56"/>
      <c r="J284" s="45"/>
      <c r="K284" s="45"/>
      <c r="L284" s="45"/>
      <c r="M284" s="45"/>
      <c r="N284" s="45"/>
      <c r="O284" s="45"/>
      <c r="P284" s="45"/>
    </row>
    <row r="285" spans="1:16">
      <c r="A285" s="45"/>
      <c r="B285" s="45"/>
      <c r="C285" s="45"/>
      <c r="D285" s="45"/>
      <c r="E285" s="45"/>
      <c r="F285" s="45"/>
      <c r="G285" s="45"/>
      <c r="H285" s="45"/>
      <c r="I285" s="56"/>
      <c r="J285" s="45"/>
      <c r="K285" s="45"/>
      <c r="L285" s="45"/>
      <c r="M285" s="45"/>
      <c r="N285" s="45"/>
      <c r="O285" s="45"/>
      <c r="P285" s="45"/>
    </row>
    <row r="286" spans="1:16">
      <c r="A286" s="45"/>
      <c r="B286" s="45"/>
      <c r="C286" s="45"/>
      <c r="D286" s="45"/>
      <c r="E286" s="45"/>
      <c r="F286" s="45"/>
      <c r="G286" s="45"/>
      <c r="H286" s="45"/>
      <c r="I286" s="56"/>
      <c r="J286" s="45"/>
      <c r="K286" s="45"/>
      <c r="L286" s="45"/>
      <c r="M286" s="45"/>
      <c r="N286" s="45"/>
      <c r="O286" s="45"/>
      <c r="P286" s="45"/>
    </row>
    <row r="287" spans="1:16">
      <c r="A287" s="45"/>
      <c r="B287" s="45"/>
      <c r="C287" s="45"/>
      <c r="D287" s="45"/>
      <c r="E287" s="45"/>
      <c r="F287" s="45"/>
      <c r="G287" s="45"/>
      <c r="H287" s="45"/>
      <c r="I287" s="56"/>
      <c r="J287" s="45"/>
      <c r="K287" s="45"/>
      <c r="L287" s="45"/>
      <c r="M287" s="45"/>
      <c r="N287" s="45"/>
      <c r="O287" s="45"/>
      <c r="P287" s="45"/>
    </row>
    <row r="288" spans="1:16">
      <c r="A288" s="45"/>
      <c r="B288" s="45"/>
      <c r="C288" s="45"/>
      <c r="D288" s="45"/>
      <c r="E288" s="45"/>
      <c r="F288" s="45"/>
      <c r="G288" s="45"/>
      <c r="H288" s="45"/>
      <c r="I288" s="56"/>
      <c r="J288" s="45"/>
      <c r="K288" s="45"/>
      <c r="L288" s="45"/>
      <c r="M288" s="45"/>
      <c r="N288" s="45"/>
      <c r="O288" s="45"/>
      <c r="P288" s="45"/>
    </row>
    <row r="289" spans="1:16">
      <c r="A289" s="45"/>
      <c r="B289" s="45"/>
      <c r="C289" s="45"/>
      <c r="D289" s="45"/>
      <c r="E289" s="45"/>
      <c r="F289" s="45"/>
      <c r="G289" s="45"/>
      <c r="H289" s="45"/>
      <c r="I289" s="56"/>
      <c r="J289" s="45"/>
      <c r="K289" s="45"/>
      <c r="L289" s="45"/>
      <c r="M289" s="45"/>
      <c r="N289" s="45"/>
      <c r="O289" s="45"/>
      <c r="P289" s="45"/>
    </row>
    <row r="290" spans="1:16">
      <c r="A290" s="45"/>
      <c r="B290" s="45"/>
      <c r="C290" s="45"/>
      <c r="D290" s="45"/>
      <c r="E290" s="45"/>
      <c r="F290" s="45"/>
      <c r="G290" s="45"/>
      <c r="H290" s="45"/>
      <c r="I290" s="56"/>
      <c r="J290" s="45"/>
      <c r="K290" s="45"/>
      <c r="L290" s="45"/>
      <c r="M290" s="45"/>
      <c r="N290" s="45"/>
      <c r="O290" s="45"/>
      <c r="P290" s="45"/>
    </row>
    <row r="291" spans="1:16">
      <c r="A291" s="45"/>
      <c r="B291" s="45"/>
      <c r="C291" s="45"/>
      <c r="D291" s="45"/>
      <c r="E291" s="45"/>
      <c r="F291" s="45"/>
      <c r="G291" s="45"/>
      <c r="H291" s="45"/>
      <c r="I291" s="56"/>
      <c r="J291" s="45"/>
      <c r="K291" s="45"/>
      <c r="L291" s="45"/>
      <c r="M291" s="45"/>
      <c r="N291" s="45"/>
      <c r="O291" s="45"/>
      <c r="P291" s="45"/>
    </row>
    <row r="292" spans="1:16">
      <c r="A292" s="45"/>
      <c r="B292" s="45"/>
      <c r="C292" s="45"/>
      <c r="D292" s="45"/>
      <c r="E292" s="45"/>
      <c r="F292" s="45"/>
      <c r="G292" s="45"/>
      <c r="H292" s="45"/>
      <c r="I292" s="56"/>
      <c r="J292" s="45"/>
      <c r="K292" s="45"/>
      <c r="L292" s="45"/>
      <c r="M292" s="45"/>
      <c r="N292" s="45"/>
      <c r="O292" s="45"/>
      <c r="P292" s="45"/>
    </row>
    <row r="293" spans="1:16">
      <c r="A293" s="45"/>
      <c r="B293" s="45"/>
      <c r="C293" s="45"/>
      <c r="D293" s="45"/>
      <c r="E293" s="45"/>
      <c r="F293" s="45"/>
      <c r="G293" s="45"/>
      <c r="H293" s="45"/>
      <c r="I293" s="56"/>
      <c r="J293" s="45"/>
      <c r="K293" s="45"/>
      <c r="L293" s="45"/>
      <c r="M293" s="45"/>
      <c r="N293" s="45"/>
      <c r="O293" s="45"/>
      <c r="P293" s="45"/>
    </row>
    <row r="294" spans="1:16">
      <c r="A294" s="45"/>
      <c r="B294" s="45"/>
      <c r="C294" s="45"/>
      <c r="D294" s="45"/>
      <c r="E294" s="45"/>
      <c r="F294" s="45"/>
      <c r="G294" s="45"/>
      <c r="H294" s="45"/>
      <c r="I294" s="56"/>
      <c r="J294" s="45"/>
      <c r="K294" s="45"/>
      <c r="L294" s="45"/>
      <c r="M294" s="45"/>
      <c r="N294" s="45"/>
      <c r="O294" s="45"/>
      <c r="P294" s="45"/>
    </row>
    <row r="295" spans="1:16">
      <c r="A295" s="45"/>
      <c r="B295" s="45"/>
      <c r="C295" s="45"/>
      <c r="D295" s="45"/>
      <c r="E295" s="45"/>
      <c r="F295" s="45"/>
      <c r="G295" s="45"/>
      <c r="H295" s="45"/>
      <c r="I295" s="56"/>
      <c r="J295" s="45"/>
      <c r="K295" s="45"/>
      <c r="L295" s="45"/>
      <c r="M295" s="45"/>
      <c r="N295" s="45"/>
      <c r="O295" s="45"/>
      <c r="P295" s="45"/>
    </row>
    <row r="296" spans="1:16">
      <c r="A296" s="45"/>
      <c r="B296" s="45"/>
      <c r="C296" s="45"/>
      <c r="D296" s="45"/>
      <c r="E296" s="45"/>
      <c r="F296" s="45"/>
      <c r="G296" s="45"/>
      <c r="H296" s="45"/>
      <c r="I296" s="56"/>
      <c r="J296" s="45"/>
      <c r="K296" s="45"/>
      <c r="L296" s="45"/>
      <c r="M296" s="45"/>
      <c r="N296" s="45"/>
      <c r="O296" s="45"/>
      <c r="P296" s="45"/>
    </row>
    <row r="297" spans="1:16">
      <c r="A297" s="45"/>
      <c r="B297" s="45"/>
      <c r="C297" s="45"/>
      <c r="D297" s="45"/>
      <c r="E297" s="45"/>
      <c r="F297" s="45"/>
      <c r="G297" s="45"/>
      <c r="H297" s="45"/>
      <c r="I297" s="56"/>
      <c r="J297" s="45"/>
      <c r="K297" s="45"/>
      <c r="L297" s="45"/>
      <c r="M297" s="45"/>
      <c r="N297" s="45"/>
      <c r="O297" s="45"/>
      <c r="P297" s="45"/>
    </row>
    <row r="298" spans="1:16">
      <c r="A298" s="45"/>
      <c r="B298" s="45"/>
      <c r="C298" s="45"/>
      <c r="D298" s="45"/>
      <c r="E298" s="45"/>
      <c r="F298" s="45"/>
      <c r="G298" s="45"/>
      <c r="H298" s="45"/>
      <c r="I298" s="56"/>
      <c r="J298" s="45"/>
      <c r="K298" s="45"/>
      <c r="L298" s="45"/>
      <c r="M298" s="45"/>
      <c r="N298" s="45"/>
      <c r="O298" s="45"/>
      <c r="P298" s="45"/>
    </row>
    <row r="299" spans="1:16">
      <c r="A299" s="45"/>
      <c r="B299" s="45"/>
      <c r="C299" s="45"/>
      <c r="D299" s="45"/>
      <c r="E299" s="45"/>
      <c r="F299" s="45"/>
      <c r="G299" s="45"/>
      <c r="H299" s="45"/>
      <c r="I299" s="56"/>
      <c r="J299" s="45"/>
      <c r="K299" s="45"/>
      <c r="L299" s="45"/>
      <c r="M299" s="45"/>
      <c r="N299" s="45"/>
      <c r="O299" s="45"/>
      <c r="P299" s="45"/>
    </row>
    <row r="300" spans="1:16">
      <c r="A300" s="45"/>
      <c r="B300" s="45"/>
      <c r="C300" s="45"/>
      <c r="D300" s="45"/>
      <c r="E300" s="45"/>
      <c r="F300" s="45"/>
      <c r="G300" s="45"/>
      <c r="H300" s="45"/>
      <c r="I300" s="56"/>
      <c r="J300" s="45"/>
      <c r="K300" s="45"/>
      <c r="L300" s="45"/>
      <c r="M300" s="45"/>
      <c r="N300" s="45"/>
      <c r="O300" s="45"/>
      <c r="P300" s="45"/>
    </row>
    <row r="301" spans="1:16">
      <c r="A301" s="45"/>
      <c r="B301" s="45"/>
      <c r="C301" s="45"/>
      <c r="D301" s="45"/>
      <c r="E301" s="45"/>
      <c r="F301" s="45"/>
      <c r="G301" s="45"/>
      <c r="H301" s="45"/>
      <c r="I301" s="56"/>
      <c r="J301" s="45"/>
      <c r="K301" s="45"/>
      <c r="L301" s="45"/>
      <c r="M301" s="45"/>
      <c r="N301" s="45"/>
      <c r="O301" s="45"/>
      <c r="P301" s="45"/>
    </row>
    <row r="302" spans="1:16">
      <c r="A302" s="45"/>
      <c r="B302" s="45"/>
      <c r="C302" s="45"/>
      <c r="D302" s="45"/>
      <c r="E302" s="45"/>
      <c r="F302" s="45"/>
      <c r="G302" s="45"/>
      <c r="H302" s="45"/>
      <c r="I302" s="56"/>
      <c r="J302" s="45"/>
      <c r="K302" s="45"/>
      <c r="L302" s="45"/>
      <c r="M302" s="45"/>
      <c r="N302" s="45"/>
      <c r="O302" s="45"/>
      <c r="P302" s="45"/>
    </row>
    <row r="303" spans="1:16">
      <c r="A303" s="45"/>
      <c r="B303" s="45"/>
      <c r="C303" s="45"/>
      <c r="D303" s="45"/>
      <c r="E303" s="45"/>
      <c r="F303" s="45"/>
      <c r="G303" s="45"/>
      <c r="H303" s="45"/>
      <c r="I303" s="56"/>
      <c r="J303" s="45"/>
      <c r="K303" s="45"/>
      <c r="L303" s="45"/>
      <c r="M303" s="45"/>
      <c r="N303" s="45"/>
      <c r="O303" s="45"/>
      <c r="P303" s="45"/>
    </row>
    <row r="304" spans="1:16">
      <c r="A304" s="45"/>
      <c r="B304" s="45"/>
      <c r="C304" s="45"/>
      <c r="D304" s="45"/>
      <c r="E304" s="45"/>
      <c r="F304" s="45"/>
      <c r="G304" s="45"/>
      <c r="H304" s="45"/>
      <c r="I304" s="56"/>
      <c r="J304" s="45"/>
      <c r="K304" s="45"/>
      <c r="L304" s="45"/>
      <c r="M304" s="45"/>
      <c r="N304" s="45"/>
      <c r="O304" s="45"/>
      <c r="P304" s="45"/>
    </row>
    <row r="305" spans="1:16">
      <c r="A305" s="45"/>
      <c r="B305" s="45"/>
      <c r="C305" s="45"/>
      <c r="D305" s="45"/>
      <c r="E305" s="45"/>
      <c r="F305" s="45"/>
      <c r="G305" s="45"/>
      <c r="H305" s="45"/>
      <c r="I305" s="56"/>
      <c r="J305" s="45"/>
      <c r="K305" s="45"/>
      <c r="L305" s="45"/>
      <c r="M305" s="45"/>
      <c r="N305" s="45"/>
      <c r="O305" s="45"/>
      <c r="P305" s="45"/>
    </row>
    <row r="306" spans="1:16">
      <c r="A306" s="45"/>
      <c r="B306" s="45"/>
      <c r="C306" s="45"/>
      <c r="D306" s="45"/>
      <c r="E306" s="45"/>
      <c r="F306" s="45"/>
      <c r="G306" s="45"/>
      <c r="H306" s="45"/>
      <c r="I306" s="56"/>
      <c r="J306" s="45"/>
      <c r="K306" s="45"/>
      <c r="L306" s="45"/>
      <c r="M306" s="45"/>
      <c r="N306" s="45"/>
      <c r="O306" s="45"/>
      <c r="P306" s="45"/>
    </row>
    <row r="307" spans="1:16">
      <c r="A307" s="45"/>
      <c r="B307" s="45"/>
      <c r="C307" s="45"/>
      <c r="D307" s="45"/>
      <c r="E307" s="45"/>
      <c r="F307" s="45"/>
      <c r="G307" s="45"/>
      <c r="H307" s="45"/>
      <c r="I307" s="56"/>
      <c r="J307" s="45"/>
      <c r="K307" s="45"/>
      <c r="L307" s="45"/>
      <c r="M307" s="45"/>
      <c r="N307" s="45"/>
      <c r="O307" s="45"/>
      <c r="P307" s="45"/>
    </row>
    <row r="308" spans="1:16">
      <c r="A308" s="45"/>
      <c r="B308" s="45"/>
      <c r="C308" s="45"/>
      <c r="D308" s="45"/>
      <c r="E308" s="45"/>
      <c r="F308" s="45"/>
      <c r="G308" s="45"/>
      <c r="H308" s="45"/>
      <c r="I308" s="56"/>
      <c r="J308" s="45"/>
      <c r="K308" s="45"/>
      <c r="L308" s="45"/>
      <c r="M308" s="45"/>
      <c r="N308" s="45"/>
      <c r="O308" s="45"/>
      <c r="P308" s="45"/>
    </row>
    <row r="309" spans="1:16">
      <c r="A309" s="45"/>
      <c r="B309" s="45"/>
      <c r="C309" s="45"/>
      <c r="D309" s="45"/>
      <c r="E309" s="45"/>
      <c r="F309" s="45"/>
      <c r="G309" s="45"/>
      <c r="H309" s="45"/>
      <c r="I309" s="56"/>
      <c r="J309" s="45"/>
      <c r="K309" s="45"/>
      <c r="L309" s="45"/>
      <c r="M309" s="45"/>
      <c r="N309" s="45"/>
      <c r="O309" s="45"/>
      <c r="P309" s="45"/>
    </row>
    <row r="310" spans="1:16">
      <c r="A310" s="45"/>
      <c r="B310" s="45"/>
      <c r="C310" s="45"/>
      <c r="D310" s="45"/>
      <c r="E310" s="45"/>
      <c r="F310" s="45"/>
      <c r="G310" s="45"/>
      <c r="H310" s="45"/>
      <c r="I310" s="56"/>
      <c r="J310" s="45"/>
      <c r="K310" s="45"/>
      <c r="L310" s="45"/>
      <c r="M310" s="45"/>
      <c r="N310" s="45"/>
      <c r="O310" s="45"/>
      <c r="P310" s="45"/>
    </row>
    <row r="311" spans="1:16">
      <c r="A311" s="45"/>
      <c r="B311" s="45"/>
      <c r="C311" s="45"/>
      <c r="D311" s="45"/>
      <c r="E311" s="45"/>
      <c r="F311" s="45"/>
      <c r="G311" s="45"/>
      <c r="H311" s="45"/>
      <c r="I311" s="56"/>
      <c r="J311" s="45"/>
      <c r="K311" s="45"/>
      <c r="L311" s="45"/>
      <c r="M311" s="45"/>
      <c r="N311" s="45"/>
      <c r="O311" s="45"/>
      <c r="P311" s="45"/>
    </row>
    <row r="312" spans="1:16">
      <c r="A312" s="45"/>
      <c r="B312" s="45"/>
      <c r="C312" s="45"/>
      <c r="D312" s="45"/>
      <c r="E312" s="45"/>
      <c r="F312" s="45"/>
      <c r="G312" s="45"/>
      <c r="H312" s="45"/>
      <c r="I312" s="56"/>
      <c r="J312" s="45"/>
      <c r="K312" s="45"/>
      <c r="L312" s="45"/>
      <c r="M312" s="45"/>
      <c r="N312" s="45"/>
      <c r="O312" s="45"/>
      <c r="P312" s="45"/>
    </row>
    <row r="313" spans="1:16">
      <c r="A313" s="45"/>
      <c r="B313" s="45"/>
      <c r="C313" s="45"/>
      <c r="D313" s="45"/>
      <c r="E313" s="45"/>
      <c r="F313" s="45"/>
      <c r="G313" s="45"/>
      <c r="H313" s="45"/>
      <c r="I313" s="56"/>
      <c r="J313" s="45"/>
      <c r="K313" s="45"/>
      <c r="L313" s="45"/>
      <c r="M313" s="45"/>
      <c r="N313" s="45"/>
      <c r="O313" s="45"/>
      <c r="P313" s="45"/>
    </row>
    <row r="314" spans="1:16">
      <c r="A314" s="45"/>
      <c r="B314" s="45"/>
      <c r="C314" s="45"/>
      <c r="D314" s="45"/>
      <c r="E314" s="45"/>
      <c r="F314" s="45"/>
      <c r="G314" s="45"/>
      <c r="H314" s="45"/>
      <c r="I314" s="56"/>
      <c r="J314" s="45"/>
      <c r="K314" s="45"/>
      <c r="L314" s="45"/>
      <c r="M314" s="45"/>
      <c r="N314" s="45"/>
      <c r="O314" s="45"/>
      <c r="P314" s="45"/>
    </row>
    <row r="315" spans="1:16">
      <c r="A315" s="45"/>
      <c r="B315" s="45"/>
      <c r="C315" s="45"/>
      <c r="D315" s="45"/>
      <c r="E315" s="45"/>
      <c r="F315" s="45"/>
      <c r="G315" s="45"/>
      <c r="H315" s="45"/>
      <c r="I315" s="56"/>
      <c r="J315" s="45"/>
      <c r="K315" s="45"/>
      <c r="L315" s="45"/>
      <c r="M315" s="45"/>
      <c r="N315" s="45"/>
      <c r="O315" s="45"/>
      <c r="P315" s="45"/>
    </row>
    <row r="316" spans="1:16">
      <c r="A316" s="45"/>
      <c r="B316" s="45"/>
      <c r="C316" s="45"/>
      <c r="D316" s="45"/>
      <c r="E316" s="45"/>
      <c r="F316" s="45"/>
      <c r="G316" s="45"/>
      <c r="H316" s="45"/>
      <c r="I316" s="56"/>
      <c r="J316" s="45"/>
      <c r="K316" s="45"/>
      <c r="L316" s="45"/>
      <c r="M316" s="45"/>
      <c r="N316" s="45"/>
      <c r="O316" s="45"/>
      <c r="P316" s="45"/>
    </row>
    <row r="317" spans="1:16">
      <c r="A317" s="45"/>
      <c r="B317" s="45"/>
      <c r="C317" s="45"/>
      <c r="D317" s="45"/>
      <c r="E317" s="45"/>
      <c r="F317" s="45"/>
      <c r="G317" s="45"/>
      <c r="H317" s="45"/>
      <c r="I317" s="56"/>
      <c r="J317" s="45"/>
      <c r="K317" s="45"/>
      <c r="L317" s="45"/>
      <c r="M317" s="45"/>
      <c r="N317" s="45"/>
      <c r="O317" s="45"/>
      <c r="P317" s="45"/>
    </row>
    <row r="318" spans="1:16">
      <c r="A318" s="45"/>
      <c r="B318" s="45"/>
      <c r="C318" s="45"/>
      <c r="D318" s="45"/>
      <c r="E318" s="45"/>
      <c r="F318" s="45"/>
      <c r="G318" s="45"/>
      <c r="H318" s="45"/>
      <c r="I318" s="56"/>
      <c r="J318" s="45"/>
      <c r="K318" s="45"/>
      <c r="L318" s="45"/>
      <c r="M318" s="45"/>
      <c r="N318" s="45"/>
      <c r="O318" s="45"/>
      <c r="P318" s="45"/>
    </row>
    <row r="319" spans="1:16">
      <c r="A319" s="45"/>
      <c r="B319" s="45"/>
      <c r="C319" s="45"/>
      <c r="D319" s="45"/>
      <c r="E319" s="45"/>
      <c r="F319" s="45"/>
      <c r="G319" s="45"/>
      <c r="H319" s="45"/>
      <c r="I319" s="56"/>
      <c r="J319" s="45"/>
      <c r="K319" s="45"/>
      <c r="L319" s="45"/>
      <c r="M319" s="45"/>
      <c r="N319" s="45"/>
      <c r="O319" s="45"/>
      <c r="P319" s="45"/>
    </row>
    <row r="320" spans="1:16">
      <c r="A320" s="45"/>
      <c r="B320" s="45"/>
      <c r="C320" s="45"/>
      <c r="D320" s="45"/>
      <c r="E320" s="45"/>
      <c r="F320" s="45"/>
      <c r="G320" s="45"/>
      <c r="H320" s="45"/>
      <c r="I320" s="56"/>
      <c r="J320" s="45"/>
      <c r="K320" s="45"/>
      <c r="L320" s="45"/>
      <c r="M320" s="45"/>
      <c r="N320" s="45"/>
      <c r="O320" s="45"/>
      <c r="P320" s="45"/>
    </row>
    <row r="321" spans="1:16">
      <c r="A321" s="45"/>
      <c r="B321" s="45"/>
      <c r="C321" s="45"/>
      <c r="D321" s="45"/>
      <c r="E321" s="45"/>
      <c r="F321" s="45"/>
      <c r="G321" s="45"/>
      <c r="H321" s="45"/>
      <c r="I321" s="56"/>
      <c r="J321" s="45"/>
      <c r="K321" s="45"/>
      <c r="L321" s="45"/>
      <c r="M321" s="45"/>
      <c r="N321" s="45"/>
      <c r="O321" s="45"/>
      <c r="P321" s="45"/>
    </row>
    <row r="322" spans="1:16">
      <c r="A322" s="45"/>
      <c r="B322" s="45"/>
      <c r="C322" s="45"/>
      <c r="D322" s="45"/>
      <c r="E322" s="45"/>
      <c r="F322" s="45"/>
      <c r="G322" s="45"/>
      <c r="H322" s="45"/>
      <c r="I322" s="56"/>
      <c r="J322" s="45"/>
      <c r="K322" s="45"/>
      <c r="L322" s="45"/>
      <c r="M322" s="45"/>
      <c r="N322" s="45"/>
      <c r="O322" s="45"/>
      <c r="P322" s="45"/>
    </row>
    <row r="323" spans="1:16">
      <c r="A323" s="45"/>
      <c r="B323" s="45"/>
      <c r="C323" s="45"/>
      <c r="D323" s="45"/>
      <c r="E323" s="45"/>
      <c r="F323" s="45"/>
      <c r="G323" s="45"/>
      <c r="H323" s="45"/>
      <c r="I323" s="56"/>
      <c r="J323" s="45"/>
      <c r="K323" s="45"/>
      <c r="L323" s="45"/>
      <c r="M323" s="45"/>
      <c r="N323" s="45"/>
      <c r="O323" s="45"/>
      <c r="P323" s="45"/>
    </row>
    <row r="324" spans="1:16">
      <c r="A324" s="45"/>
      <c r="B324" s="45"/>
      <c r="C324" s="45"/>
      <c r="D324" s="45"/>
      <c r="E324" s="45"/>
      <c r="F324" s="45"/>
      <c r="G324" s="45"/>
      <c r="H324" s="45"/>
      <c r="I324" s="56"/>
      <c r="J324" s="45"/>
      <c r="K324" s="45"/>
      <c r="L324" s="45"/>
      <c r="M324" s="45"/>
      <c r="N324" s="45"/>
      <c r="O324" s="45"/>
      <c r="P324" s="45"/>
    </row>
    <row r="325" spans="1:16">
      <c r="A325" s="45"/>
      <c r="B325" s="45"/>
      <c r="C325" s="45"/>
      <c r="D325" s="45"/>
      <c r="E325" s="45"/>
      <c r="F325" s="45"/>
      <c r="G325" s="45"/>
      <c r="H325" s="45"/>
      <c r="I325" s="56"/>
      <c r="J325" s="45"/>
      <c r="K325" s="45"/>
      <c r="L325" s="45"/>
      <c r="M325" s="45"/>
      <c r="N325" s="45"/>
      <c r="O325" s="45"/>
      <c r="P325" s="45"/>
    </row>
    <row r="326" spans="1:16">
      <c r="A326" s="45"/>
      <c r="B326" s="45"/>
      <c r="C326" s="45"/>
      <c r="D326" s="45"/>
      <c r="E326" s="45"/>
      <c r="F326" s="45"/>
      <c r="G326" s="45"/>
      <c r="H326" s="45"/>
      <c r="I326" s="56"/>
      <c r="J326" s="45"/>
      <c r="K326" s="45"/>
      <c r="L326" s="45"/>
      <c r="M326" s="45"/>
      <c r="N326" s="45"/>
      <c r="O326" s="45"/>
      <c r="P326" s="45"/>
    </row>
    <row r="327" spans="1:16">
      <c r="A327" s="45"/>
      <c r="B327" s="45"/>
      <c r="C327" s="45"/>
      <c r="D327" s="45"/>
      <c r="E327" s="45"/>
      <c r="F327" s="45"/>
      <c r="G327" s="45"/>
      <c r="H327" s="45"/>
      <c r="I327" s="56"/>
      <c r="J327" s="45"/>
      <c r="K327" s="45"/>
      <c r="L327" s="45"/>
      <c r="M327" s="45"/>
      <c r="N327" s="45"/>
      <c r="O327" s="45"/>
      <c r="P327" s="45"/>
    </row>
    <row r="328" spans="1:16">
      <c r="A328" s="45"/>
      <c r="B328" s="45"/>
      <c r="C328" s="45"/>
      <c r="D328" s="45"/>
      <c r="E328" s="45"/>
      <c r="F328" s="45"/>
      <c r="G328" s="45"/>
      <c r="H328" s="45"/>
      <c r="I328" s="56"/>
      <c r="J328" s="45"/>
      <c r="K328" s="45"/>
      <c r="L328" s="45"/>
      <c r="M328" s="45"/>
      <c r="N328" s="45"/>
      <c r="O328" s="45"/>
      <c r="P328" s="45"/>
    </row>
    <row r="329" spans="1:16">
      <c r="A329" s="45"/>
      <c r="B329" s="45"/>
      <c r="C329" s="45"/>
      <c r="D329" s="45"/>
      <c r="E329" s="45"/>
      <c r="F329" s="45"/>
      <c r="G329" s="45"/>
      <c r="H329" s="45"/>
      <c r="I329" s="56"/>
      <c r="J329" s="45"/>
      <c r="K329" s="45"/>
      <c r="L329" s="45"/>
      <c r="M329" s="45"/>
      <c r="N329" s="45"/>
      <c r="O329" s="45"/>
      <c r="P329" s="45"/>
    </row>
    <row r="330" spans="1:16">
      <c r="A330" s="45"/>
      <c r="B330" s="45"/>
      <c r="C330" s="45"/>
      <c r="D330" s="45"/>
      <c r="E330" s="45"/>
      <c r="F330" s="45"/>
      <c r="G330" s="45"/>
      <c r="H330" s="45"/>
      <c r="I330" s="56"/>
      <c r="J330" s="45"/>
      <c r="K330" s="45"/>
      <c r="L330" s="45"/>
      <c r="M330" s="45"/>
      <c r="N330" s="45"/>
      <c r="O330" s="45"/>
      <c r="P330" s="45"/>
    </row>
    <row r="331" spans="1:16">
      <c r="A331" s="45"/>
      <c r="B331" s="45"/>
      <c r="C331" s="45"/>
      <c r="D331" s="45"/>
      <c r="E331" s="45"/>
      <c r="F331" s="45"/>
      <c r="G331" s="45"/>
      <c r="H331" s="45"/>
      <c r="I331" s="56"/>
      <c r="J331" s="45"/>
      <c r="K331" s="45"/>
      <c r="L331" s="45"/>
      <c r="M331" s="45"/>
      <c r="N331" s="45"/>
      <c r="O331" s="45"/>
      <c r="P331" s="45"/>
    </row>
    <row r="332" spans="1:16">
      <c r="A332" s="45"/>
      <c r="B332" s="45"/>
      <c r="C332" s="45"/>
      <c r="D332" s="45"/>
      <c r="E332" s="45"/>
      <c r="F332" s="45"/>
      <c r="G332" s="45"/>
      <c r="H332" s="45"/>
      <c r="I332" s="56"/>
      <c r="J332" s="45"/>
      <c r="K332" s="45"/>
      <c r="L332" s="45"/>
      <c r="M332" s="45"/>
      <c r="N332" s="45"/>
      <c r="O332" s="45"/>
      <c r="P332" s="45"/>
    </row>
    <row r="333" spans="1:16">
      <c r="A333" s="45"/>
      <c r="B333" s="45"/>
      <c r="C333" s="45"/>
      <c r="D333" s="45"/>
      <c r="E333" s="45"/>
      <c r="F333" s="45"/>
      <c r="G333" s="45"/>
      <c r="H333" s="45"/>
      <c r="I333" s="56"/>
      <c r="J333" s="45"/>
      <c r="K333" s="45"/>
      <c r="L333" s="45"/>
      <c r="M333" s="45"/>
      <c r="N333" s="45"/>
      <c r="O333" s="45"/>
      <c r="P333" s="45"/>
    </row>
    <row r="334" spans="1:16">
      <c r="A334" s="45"/>
      <c r="B334" s="45"/>
      <c r="C334" s="45"/>
      <c r="D334" s="45"/>
      <c r="E334" s="45"/>
      <c r="F334" s="45"/>
      <c r="G334" s="45"/>
      <c r="H334" s="45"/>
      <c r="I334" s="56"/>
      <c r="J334" s="45"/>
      <c r="K334" s="45"/>
      <c r="L334" s="45"/>
      <c r="M334" s="45"/>
      <c r="N334" s="45"/>
      <c r="O334" s="45"/>
      <c r="P334" s="45"/>
    </row>
    <row r="335" spans="1:16">
      <c r="A335" s="45"/>
      <c r="B335" s="45"/>
      <c r="C335" s="45"/>
      <c r="D335" s="45"/>
      <c r="E335" s="45"/>
      <c r="F335" s="45"/>
      <c r="G335" s="45"/>
      <c r="H335" s="45"/>
      <c r="I335" s="56"/>
      <c r="J335" s="45"/>
      <c r="K335" s="45"/>
      <c r="L335" s="45"/>
      <c r="M335" s="45"/>
      <c r="N335" s="45"/>
      <c r="O335" s="45"/>
      <c r="P335" s="45"/>
    </row>
    <row r="336" spans="1:16">
      <c r="A336" s="45"/>
      <c r="B336" s="45"/>
      <c r="C336" s="45"/>
      <c r="D336" s="45"/>
      <c r="E336" s="45"/>
      <c r="F336" s="45"/>
      <c r="G336" s="45"/>
      <c r="H336" s="45"/>
      <c r="I336" s="56"/>
      <c r="J336" s="45"/>
      <c r="K336" s="45"/>
      <c r="L336" s="45"/>
      <c r="M336" s="45"/>
      <c r="N336" s="45"/>
      <c r="O336" s="45"/>
      <c r="P336" s="45"/>
    </row>
    <row r="337" spans="1:16">
      <c r="A337" s="45"/>
      <c r="B337" s="45"/>
      <c r="C337" s="45"/>
      <c r="D337" s="45"/>
      <c r="E337" s="45"/>
      <c r="F337" s="45"/>
      <c r="G337" s="45"/>
      <c r="H337" s="45"/>
      <c r="I337" s="56"/>
      <c r="J337" s="45"/>
      <c r="K337" s="45"/>
      <c r="L337" s="45"/>
      <c r="M337" s="45"/>
      <c r="N337" s="45"/>
      <c r="O337" s="45"/>
      <c r="P337" s="45"/>
    </row>
    <row r="338" spans="1:16">
      <c r="A338" s="45"/>
      <c r="B338" s="45"/>
      <c r="C338" s="45"/>
      <c r="D338" s="45"/>
      <c r="E338" s="45"/>
      <c r="F338" s="45"/>
      <c r="G338" s="45"/>
      <c r="H338" s="45"/>
      <c r="I338" s="56"/>
      <c r="J338" s="45"/>
      <c r="K338" s="45"/>
      <c r="L338" s="45"/>
      <c r="M338" s="45"/>
      <c r="N338" s="45"/>
      <c r="O338" s="45"/>
      <c r="P338" s="45"/>
    </row>
    <row r="339" spans="1:16">
      <c r="A339" s="45"/>
      <c r="B339" s="45"/>
      <c r="C339" s="45"/>
      <c r="D339" s="45"/>
      <c r="E339" s="45"/>
      <c r="F339" s="45"/>
      <c r="G339" s="45"/>
      <c r="H339" s="45"/>
      <c r="I339" s="56"/>
      <c r="J339" s="45"/>
      <c r="K339" s="45"/>
      <c r="L339" s="45"/>
      <c r="M339" s="45"/>
      <c r="N339" s="45"/>
      <c r="O339" s="45"/>
      <c r="P339" s="45"/>
    </row>
  </sheetData>
  <sheetProtection password="CD86" sheet="1" objects="1" scenarios="1"/>
  <mergeCells count="12">
    <mergeCell ref="J7:J8"/>
    <mergeCell ref="A30:C30"/>
    <mergeCell ref="C20:C21"/>
    <mergeCell ref="D20:H20"/>
    <mergeCell ref="I20:I21"/>
    <mergeCell ref="D7:H7"/>
    <mergeCell ref="I7:I8"/>
    <mergeCell ref="A20:A21"/>
    <mergeCell ref="B20:B21"/>
    <mergeCell ref="A7:A9"/>
    <mergeCell ref="B7:B9"/>
    <mergeCell ref="C7:C9"/>
  </mergeCells>
  <hyperlinks>
    <hyperlink ref="D22" tooltip="C.V.: _x000a_  2.29 %"/>
    <hyperlink ref="I22" tooltip="C.V.: _x000a_  3.14 %" display="Personas "/>
    <hyperlink ref="B22" tooltip="C.V.: _x000a_  1.95 %"/>
    <hyperlink ref="E22:H22" tooltip="C.V.: _x000a_  2.29 %"/>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AQ136"/>
  <sheetViews>
    <sheetView showGridLines="0" zoomScale="90" zoomScaleNormal="90" zoomScalePageLayoutView="90" workbookViewId="0"/>
  </sheetViews>
  <sheetFormatPr baseColWidth="10" defaultRowHeight="14" x14ac:dyDescent="0"/>
  <cols>
    <col min="1" max="1" width="74.6640625" style="45" bestFit="1" customWidth="1"/>
    <col min="2" max="2" width="20.5" style="45" bestFit="1" customWidth="1"/>
    <col min="3" max="3" width="22.33203125" style="45" customWidth="1"/>
    <col min="4" max="4" width="29.33203125" style="45" bestFit="1" customWidth="1"/>
    <col min="5" max="5" width="27.83203125" style="45" bestFit="1" customWidth="1"/>
    <col min="6" max="6" width="25.6640625" style="45" bestFit="1" customWidth="1"/>
    <col min="7" max="7" width="30.6640625" style="45" bestFit="1" customWidth="1"/>
    <col min="8" max="8" width="23.1640625" style="45" bestFit="1" customWidth="1"/>
    <col min="9" max="9" width="13.83203125" style="56" bestFit="1" customWidth="1"/>
    <col min="10" max="10" width="18.83203125" style="45" bestFit="1" customWidth="1"/>
    <col min="11" max="11" width="17.5" style="45" bestFit="1" customWidth="1"/>
    <col min="12" max="12" width="25.83203125" style="45" bestFit="1" customWidth="1"/>
    <col min="13" max="17" width="13.83203125" style="45" bestFit="1" customWidth="1"/>
    <col min="18" max="41" width="12.33203125" style="45" bestFit="1" customWidth="1"/>
    <col min="42" max="43" width="11.5" style="45" bestFit="1" customWidth="1"/>
    <col min="44" max="16384" width="10.83203125" style="45"/>
  </cols>
  <sheetData>
    <row r="1" spans="1:14" s="18" customFormat="1" ht="15">
      <c r="A1" s="334" t="s">
        <v>21</v>
      </c>
      <c r="B1" s="335"/>
      <c r="C1" s="335"/>
      <c r="D1" s="335"/>
      <c r="E1" s="335"/>
      <c r="F1" s="335"/>
      <c r="G1" s="335"/>
      <c r="H1" s="335"/>
      <c r="I1" s="336"/>
      <c r="J1" s="337"/>
      <c r="K1" s="338"/>
      <c r="L1" s="338"/>
      <c r="M1" s="338"/>
      <c r="N1" s="338"/>
    </row>
    <row r="2" spans="1:14" s="18" customFormat="1" ht="15">
      <c r="A2" s="339" t="s">
        <v>65</v>
      </c>
      <c r="B2" s="335"/>
      <c r="C2" s="335"/>
      <c r="D2" s="335"/>
      <c r="E2" s="335"/>
      <c r="F2" s="335"/>
      <c r="G2" s="335"/>
      <c r="H2" s="335"/>
      <c r="I2" s="336"/>
      <c r="J2" s="336"/>
      <c r="K2" s="338"/>
      <c r="L2" s="338"/>
      <c r="M2" s="338"/>
      <c r="N2" s="338"/>
    </row>
    <row r="3" spans="1:14" s="18" customFormat="1">
      <c r="A3" s="340"/>
      <c r="B3" s="340"/>
      <c r="C3" s="340"/>
      <c r="D3" s="340"/>
      <c r="E3" s="340"/>
      <c r="F3" s="340"/>
      <c r="G3" s="340"/>
      <c r="H3" s="341"/>
      <c r="I3" s="340"/>
      <c r="J3" s="342"/>
      <c r="K3" s="343"/>
      <c r="L3" s="338"/>
      <c r="M3" s="338"/>
      <c r="N3" s="338"/>
    </row>
    <row r="4" spans="1:14" s="18" customFormat="1">
      <c r="A4" s="340"/>
      <c r="B4" s="340"/>
      <c r="C4" s="340"/>
      <c r="D4" s="340"/>
      <c r="E4" s="340"/>
      <c r="F4" s="340"/>
      <c r="G4" s="340"/>
      <c r="H4" s="341"/>
      <c r="I4" s="340"/>
      <c r="J4" s="342"/>
      <c r="K4" s="343"/>
      <c r="L4" s="338"/>
      <c r="M4" s="338"/>
      <c r="N4" s="338"/>
    </row>
    <row r="5" spans="1:14" s="18" customFormat="1">
      <c r="A5" s="340"/>
      <c r="B5" s="340"/>
      <c r="C5" s="340"/>
      <c r="D5" s="340"/>
      <c r="E5" s="340"/>
      <c r="F5" s="340"/>
      <c r="G5" s="340"/>
      <c r="H5" s="341"/>
      <c r="I5" s="340"/>
      <c r="J5" s="342"/>
      <c r="K5" s="343"/>
      <c r="L5" s="338"/>
      <c r="M5" s="338"/>
      <c r="N5" s="338"/>
    </row>
    <row r="6" spans="1:14" s="18" customFormat="1" ht="15" thickBot="1">
      <c r="A6" s="172" t="s">
        <v>185</v>
      </c>
      <c r="B6" s="344"/>
      <c r="C6" s="344"/>
      <c r="D6" s="338"/>
      <c r="E6" s="165">
        <f>2*B10</f>
        <v>134.58000000000001</v>
      </c>
      <c r="F6" s="165">
        <f>3*B10</f>
        <v>201.87</v>
      </c>
      <c r="G6" s="165">
        <f>5*B10</f>
        <v>336.45000000000005</v>
      </c>
      <c r="H6" s="165">
        <f>25*B10</f>
        <v>1682.2500000000002</v>
      </c>
      <c r="I6" s="344"/>
      <c r="J6" s="345"/>
      <c r="K6" s="343"/>
      <c r="L6" s="338"/>
      <c r="M6" s="338"/>
      <c r="N6" s="338"/>
    </row>
    <row r="7" spans="1:14" ht="14.5" customHeight="1">
      <c r="A7" s="766" t="s">
        <v>92</v>
      </c>
      <c r="B7" s="752" t="s">
        <v>162</v>
      </c>
      <c r="C7" s="752" t="s">
        <v>84</v>
      </c>
      <c r="D7" s="749" t="s">
        <v>5</v>
      </c>
      <c r="E7" s="750"/>
      <c r="F7" s="750"/>
      <c r="G7" s="750"/>
      <c r="H7" s="750"/>
      <c r="I7" s="752" t="s">
        <v>84</v>
      </c>
      <c r="J7" s="755"/>
      <c r="K7" s="163"/>
      <c r="L7" s="163"/>
      <c r="M7" s="163"/>
      <c r="N7" s="163"/>
    </row>
    <row r="8" spans="1:14" ht="59" customHeight="1" thickBot="1">
      <c r="A8" s="767"/>
      <c r="B8" s="758"/>
      <c r="C8" s="758"/>
      <c r="D8" s="173" t="s">
        <v>6</v>
      </c>
      <c r="E8" s="174" t="s">
        <v>7</v>
      </c>
      <c r="F8" s="174" t="s">
        <v>8</v>
      </c>
      <c r="G8" s="174" t="s">
        <v>9</v>
      </c>
      <c r="H8" s="174" t="s">
        <v>258</v>
      </c>
      <c r="I8" s="753" t="s">
        <v>84</v>
      </c>
      <c r="J8" s="756" t="s">
        <v>12</v>
      </c>
      <c r="K8" s="163"/>
      <c r="L8" s="163"/>
      <c r="M8" s="163"/>
      <c r="N8" s="163"/>
    </row>
    <row r="9" spans="1:14" ht="15" thickBot="1">
      <c r="A9" s="767"/>
      <c r="B9" s="758"/>
      <c r="C9" s="758"/>
      <c r="D9" s="346">
        <v>67.290000000000006</v>
      </c>
      <c r="E9" s="176" t="s">
        <v>340</v>
      </c>
      <c r="F9" s="176" t="s">
        <v>341</v>
      </c>
      <c r="G9" s="176" t="s">
        <v>342</v>
      </c>
      <c r="H9" s="176" t="s">
        <v>343</v>
      </c>
      <c r="I9" s="177" t="s">
        <v>85</v>
      </c>
      <c r="J9" s="178"/>
      <c r="K9" s="163"/>
      <c r="L9" s="163"/>
      <c r="M9" s="163"/>
      <c r="N9" s="163"/>
    </row>
    <row r="10" spans="1:14">
      <c r="A10" s="180" t="s">
        <v>22</v>
      </c>
      <c r="B10" s="181">
        <v>67.290000000000006</v>
      </c>
      <c r="C10" s="182" t="s">
        <v>85</v>
      </c>
      <c r="D10" s="183">
        <v>1</v>
      </c>
      <c r="E10" s="184">
        <v>2</v>
      </c>
      <c r="F10" s="184">
        <v>3</v>
      </c>
      <c r="G10" s="184">
        <v>5</v>
      </c>
      <c r="H10" s="184">
        <v>25</v>
      </c>
      <c r="I10" s="185" t="s">
        <v>86</v>
      </c>
      <c r="J10" s="186">
        <f>H10*67*30</f>
        <v>50250</v>
      </c>
      <c r="K10" s="163" t="s">
        <v>163</v>
      </c>
      <c r="L10" s="163"/>
      <c r="M10" s="163"/>
      <c r="N10" s="163"/>
    </row>
    <row r="11" spans="1:14">
      <c r="A11" s="188" t="s">
        <v>168</v>
      </c>
      <c r="B11" s="189"/>
      <c r="C11" s="190"/>
      <c r="D11" s="325">
        <f>D10*$B$10</f>
        <v>67.290000000000006</v>
      </c>
      <c r="E11" s="193">
        <f>E10*$B$10</f>
        <v>134.58000000000001</v>
      </c>
      <c r="F11" s="193">
        <f>F10*$B$10</f>
        <v>201.87</v>
      </c>
      <c r="G11" s="193">
        <f>G10*$B$10</f>
        <v>336.45000000000005</v>
      </c>
      <c r="H11" s="193">
        <f>H10*$B$10</f>
        <v>1682.2500000000002</v>
      </c>
      <c r="I11" s="48" t="s">
        <v>95</v>
      </c>
      <c r="J11" s="165"/>
      <c r="K11" s="163"/>
      <c r="L11" s="163"/>
      <c r="M11" s="163"/>
      <c r="N11" s="163"/>
    </row>
    <row r="12" spans="1:14">
      <c r="A12" s="194" t="s">
        <v>29</v>
      </c>
      <c r="B12" s="195">
        <v>0.02</v>
      </c>
      <c r="C12" s="190"/>
      <c r="D12" s="196"/>
      <c r="E12" s="196"/>
      <c r="F12" s="196"/>
      <c r="G12" s="196"/>
      <c r="H12" s="196"/>
      <c r="I12" s="197"/>
      <c r="J12" s="198">
        <f>H13*30</f>
        <v>12742.97203242819</v>
      </c>
      <c r="K12" s="163" t="s">
        <v>164</v>
      </c>
      <c r="L12" s="163"/>
      <c r="M12" s="163"/>
      <c r="N12" s="163"/>
    </row>
    <row r="13" spans="1:14">
      <c r="A13" s="188" t="s">
        <v>165</v>
      </c>
      <c r="B13" s="311"/>
      <c r="C13" s="190"/>
      <c r="D13" s="325">
        <f>B10</f>
        <v>67.290000000000006</v>
      </c>
      <c r="E13" s="193">
        <f>B65</f>
        <v>71.705786720713633</v>
      </c>
      <c r="F13" s="193">
        <f>B87</f>
        <v>138.99578672071365</v>
      </c>
      <c r="G13" s="193">
        <f>B109</f>
        <v>210.70157344142743</v>
      </c>
      <c r="H13" s="193">
        <f>B132</f>
        <v>424.76573441427297</v>
      </c>
      <c r="I13" s="48" t="s">
        <v>95</v>
      </c>
      <c r="J13" s="200">
        <f>5*67*30</f>
        <v>10050</v>
      </c>
      <c r="K13" s="163"/>
      <c r="L13" s="163"/>
      <c r="M13" s="163"/>
      <c r="N13" s="163"/>
    </row>
    <row r="14" spans="1:14">
      <c r="A14" s="201" t="s">
        <v>166</v>
      </c>
      <c r="B14" s="202">
        <f>'Principal T'!J5</f>
        <v>85</v>
      </c>
      <c r="C14" s="203" t="s">
        <v>85</v>
      </c>
      <c r="D14" s="205"/>
      <c r="E14" s="205"/>
      <c r="F14" s="205"/>
      <c r="G14" s="205"/>
      <c r="H14" s="205"/>
      <c r="I14" s="206"/>
      <c r="J14" s="200"/>
      <c r="K14" s="163"/>
      <c r="L14" s="163"/>
      <c r="M14" s="163"/>
      <c r="N14" s="163"/>
    </row>
    <row r="15" spans="1:14">
      <c r="A15" s="207" t="s">
        <v>169</v>
      </c>
      <c r="B15" s="208">
        <f>(B14/B10)-1</f>
        <v>0.2631891811561895</v>
      </c>
      <c r="C15" s="203"/>
      <c r="D15" s="205"/>
      <c r="E15" s="205"/>
      <c r="F15" s="205"/>
      <c r="G15" s="205"/>
      <c r="H15" s="205"/>
      <c r="I15" s="206"/>
      <c r="J15" s="200"/>
      <c r="K15" s="163"/>
      <c r="L15" s="163"/>
      <c r="M15" s="163"/>
      <c r="N15" s="163"/>
    </row>
    <row r="16" spans="1:14">
      <c r="A16" s="207" t="s">
        <v>170</v>
      </c>
      <c r="B16" s="202"/>
      <c r="C16" s="203"/>
      <c r="D16" s="326">
        <f>B14</f>
        <v>85</v>
      </c>
      <c r="E16" s="212">
        <f>IF(E11&gt;B14,E11,B14)</f>
        <v>134.58000000000001</v>
      </c>
      <c r="F16" s="212">
        <f>IF(F11&gt;B14,F11,B14)</f>
        <v>201.87</v>
      </c>
      <c r="G16" s="212">
        <f>IF(G11&gt;B14,G11,B14)</f>
        <v>336.45000000000005</v>
      </c>
      <c r="H16" s="212">
        <f>IF(H11&gt;B14,H11,B14)</f>
        <v>1682.2500000000002</v>
      </c>
      <c r="I16" s="206" t="s">
        <v>95</v>
      </c>
      <c r="J16" s="200"/>
      <c r="K16" s="163"/>
      <c r="L16" s="163"/>
      <c r="M16" s="163"/>
      <c r="N16" s="163"/>
    </row>
    <row r="17" spans="1:14" ht="15" thickBot="1">
      <c r="A17" s="213" t="s">
        <v>167</v>
      </c>
      <c r="B17" s="214">
        <f>(B27*1000000)/B22</f>
        <v>135.23264419867218</v>
      </c>
      <c r="C17" s="215"/>
      <c r="D17" s="327">
        <f>D16</f>
        <v>85</v>
      </c>
      <c r="E17" s="218">
        <f>B68</f>
        <v>106.61106079551301</v>
      </c>
      <c r="F17" s="218">
        <f>B90</f>
        <v>138.99578672071365</v>
      </c>
      <c r="G17" s="218">
        <f>B112</f>
        <v>210.70157344142743</v>
      </c>
      <c r="H17" s="218">
        <f>B135</f>
        <v>424.76573441427297</v>
      </c>
      <c r="I17" s="219" t="s">
        <v>95</v>
      </c>
      <c r="J17" s="200"/>
      <c r="K17" s="163"/>
      <c r="L17" s="163"/>
      <c r="M17" s="163"/>
      <c r="N17" s="163"/>
    </row>
    <row r="18" spans="1:14">
      <c r="A18" s="165"/>
      <c r="B18" s="347"/>
      <c r="C18" s="221"/>
      <c r="D18" s="348"/>
      <c r="E18" s="349"/>
      <c r="F18" s="349"/>
      <c r="G18" s="349"/>
      <c r="H18" s="349"/>
      <c r="I18" s="165"/>
      <c r="J18" s="316"/>
      <c r="K18" s="163"/>
      <c r="L18" s="163"/>
      <c r="M18" s="163"/>
      <c r="N18" s="163"/>
    </row>
    <row r="19" spans="1:14" ht="15" thickBot="1">
      <c r="A19" s="172" t="s">
        <v>184</v>
      </c>
      <c r="B19" s="347"/>
      <c r="C19" s="221"/>
      <c r="D19" s="348"/>
      <c r="E19" s="349"/>
      <c r="F19" s="349"/>
      <c r="G19" s="349"/>
      <c r="H19" s="349"/>
      <c r="I19" s="165"/>
      <c r="J19" s="316"/>
      <c r="K19" s="163"/>
      <c r="L19" s="163"/>
      <c r="M19" s="163"/>
      <c r="N19" s="163"/>
    </row>
    <row r="20" spans="1:14">
      <c r="A20" s="759" t="s">
        <v>161</v>
      </c>
      <c r="B20" s="752" t="s">
        <v>162</v>
      </c>
      <c r="C20" s="752" t="s">
        <v>84</v>
      </c>
      <c r="D20" s="749" t="s">
        <v>5</v>
      </c>
      <c r="E20" s="750"/>
      <c r="F20" s="750"/>
      <c r="G20" s="750"/>
      <c r="H20" s="750"/>
      <c r="I20" s="752" t="s">
        <v>84</v>
      </c>
      <c r="J20" s="165"/>
      <c r="K20" s="168"/>
      <c r="L20" s="163"/>
      <c r="M20" s="163"/>
      <c r="N20" s="163"/>
    </row>
    <row r="21" spans="1:14" ht="57.5" customHeight="1" thickBot="1">
      <c r="A21" s="760"/>
      <c r="B21" s="753"/>
      <c r="C21" s="753"/>
      <c r="D21" s="173" t="s">
        <v>6</v>
      </c>
      <c r="E21" s="174" t="s">
        <v>7</v>
      </c>
      <c r="F21" s="174" t="s">
        <v>8</v>
      </c>
      <c r="G21" s="174" t="s">
        <v>9</v>
      </c>
      <c r="H21" s="174" t="s">
        <v>258</v>
      </c>
      <c r="I21" s="753"/>
      <c r="J21" s="47"/>
      <c r="K21" s="168"/>
      <c r="L21" s="163"/>
      <c r="M21" s="163"/>
      <c r="N21" s="163"/>
    </row>
    <row r="22" spans="1:14">
      <c r="A22" s="229" t="s">
        <v>160</v>
      </c>
      <c r="B22" s="230">
        <f>SUM(D22:H22)</f>
        <v>8733097</v>
      </c>
      <c r="C22" s="185" t="s">
        <v>86</v>
      </c>
      <c r="D22" s="231">
        <f>'[1]Comercio H'!D22+'[1]Comercio M'!D22</f>
        <v>1781621.8098690324</v>
      </c>
      <c r="E22" s="232">
        <f>'[1]Comercio H'!E22+'[1]Comercio M'!E22</f>
        <v>2989464.766353291</v>
      </c>
      <c r="F22" s="232">
        <f>'[1]Comercio H'!F22+'[1]Comercio M'!F22</f>
        <v>2274616.4251068304</v>
      </c>
      <c r="G22" s="232">
        <f>'[1]Comercio H'!G22+'[1]Comercio M'!G22</f>
        <v>1209865.7435083045</v>
      </c>
      <c r="H22" s="232">
        <f>'[1]Comercio H'!H22+'[1]Comercio M'!H22</f>
        <v>477528.25516254158</v>
      </c>
      <c r="I22" s="185" t="s">
        <v>86</v>
      </c>
      <c r="J22" s="316"/>
      <c r="K22" s="168"/>
      <c r="L22" s="163"/>
      <c r="M22" s="163"/>
      <c r="N22" s="163"/>
    </row>
    <row r="23" spans="1:14">
      <c r="A23" s="194" t="s">
        <v>345</v>
      </c>
      <c r="B23" s="233">
        <f>SUM(D23:H23)/1000000</f>
        <v>1108.167609844651</v>
      </c>
      <c r="C23" s="48" t="s">
        <v>87</v>
      </c>
      <c r="D23" s="231">
        <f>D22*B10</f>
        <v>119885331.5860872</v>
      </c>
      <c r="E23" s="232">
        <f>G62</f>
        <v>214361922.9452171</v>
      </c>
      <c r="F23" s="232">
        <f>G84</f>
        <v>316162099.49558115</v>
      </c>
      <c r="G23" s="232">
        <f>G106</f>
        <v>254920615.8100822</v>
      </c>
      <c r="H23" s="232">
        <f>G129</f>
        <v>202837640.00768331</v>
      </c>
      <c r="I23" s="234" t="s">
        <v>246</v>
      </c>
      <c r="J23" s="251"/>
      <c r="K23" s="163"/>
      <c r="L23" s="163"/>
      <c r="M23" s="163"/>
      <c r="N23" s="163"/>
    </row>
    <row r="24" spans="1:14">
      <c r="A24" s="194" t="s">
        <v>23</v>
      </c>
      <c r="B24" s="235"/>
      <c r="C24" s="48"/>
      <c r="D24" s="231"/>
      <c r="E24" s="232"/>
      <c r="F24" s="232"/>
      <c r="G24" s="232"/>
      <c r="H24" s="232"/>
      <c r="I24" s="236"/>
      <c r="J24" s="251"/>
      <c r="K24" s="163"/>
      <c r="L24" s="163"/>
      <c r="M24" s="163"/>
      <c r="N24" s="163"/>
    </row>
    <row r="25" spans="1:14">
      <c r="A25" s="237" t="s">
        <v>24</v>
      </c>
      <c r="B25" s="238">
        <f>SUM(D25:H25)</f>
        <v>4699961.6520091519</v>
      </c>
      <c r="C25" s="48" t="s">
        <v>86</v>
      </c>
      <c r="D25" s="231">
        <f>D22</f>
        <v>1781621.8098690324</v>
      </c>
      <c r="E25" s="232">
        <f>L62</f>
        <v>2918339.84214012</v>
      </c>
      <c r="F25" s="232">
        <f>L84</f>
        <v>0</v>
      </c>
      <c r="G25" s="232">
        <f>L106</f>
        <v>0</v>
      </c>
      <c r="H25" s="232">
        <f>L129</f>
        <v>0</v>
      </c>
      <c r="I25" s="48" t="s">
        <v>86</v>
      </c>
      <c r="J25" s="251"/>
      <c r="K25" s="163"/>
      <c r="L25" s="163"/>
      <c r="M25" s="163"/>
      <c r="N25" s="163"/>
    </row>
    <row r="26" spans="1:14">
      <c r="A26" s="237" t="s">
        <v>25</v>
      </c>
      <c r="B26" s="238">
        <f>SUM(D26:H26)</f>
        <v>4033135.3479908477</v>
      </c>
      <c r="C26" s="48" t="s">
        <v>86</v>
      </c>
      <c r="D26" s="231"/>
      <c r="E26" s="232">
        <f>E22-E25</f>
        <v>71124.924213171005</v>
      </c>
      <c r="F26" s="232">
        <f>F22-F25</f>
        <v>2274616.4251068304</v>
      </c>
      <c r="G26" s="232">
        <f>G22</f>
        <v>1209865.7435083045</v>
      </c>
      <c r="H26" s="232">
        <f>H22</f>
        <v>477528.25516254158</v>
      </c>
      <c r="I26" s="48" t="s">
        <v>86</v>
      </c>
      <c r="J26" s="251"/>
      <c r="K26" s="163"/>
      <c r="L26" s="163"/>
      <c r="M26" s="163"/>
      <c r="N26" s="163"/>
    </row>
    <row r="27" spans="1:14" ht="15" thickBot="1">
      <c r="A27" s="239" t="s">
        <v>346</v>
      </c>
      <c r="B27" s="240">
        <f>SUM(D27:H27)/1000000</f>
        <v>1180.9997993534912</v>
      </c>
      <c r="C27" s="50" t="s">
        <v>87</v>
      </c>
      <c r="D27" s="241">
        <f>D25*D17</f>
        <v>151437853.83886775</v>
      </c>
      <c r="E27" s="242">
        <f>K62</f>
        <v>255641590.20127681</v>
      </c>
      <c r="F27" s="242">
        <f>K84</f>
        <v>316162099.49558115</v>
      </c>
      <c r="G27" s="242">
        <f>K106</f>
        <v>254920615.8100822</v>
      </c>
      <c r="H27" s="242">
        <f>K129</f>
        <v>202837640.00768331</v>
      </c>
      <c r="I27" s="243" t="s">
        <v>90</v>
      </c>
      <c r="J27" s="251"/>
      <c r="K27" s="163"/>
      <c r="L27" s="163"/>
      <c r="M27" s="163"/>
      <c r="N27" s="163"/>
    </row>
    <row r="28" spans="1:14" ht="15" thickBot="1">
      <c r="A28" s="244" t="s">
        <v>245</v>
      </c>
      <c r="B28" s="245">
        <f>((D23*D28)+(E23*E28)+(F23*F28)+(G23*G28)+(H23*H28))/(B23*1000000)</f>
        <v>0.13461812696276992</v>
      </c>
      <c r="C28" s="51"/>
      <c r="D28" s="246">
        <v>6.4000000000000001E-2</v>
      </c>
      <c r="E28" s="246">
        <v>6.4000000000000001E-2</v>
      </c>
      <c r="F28" s="247">
        <v>0.10879999999999999</v>
      </c>
      <c r="G28" s="247">
        <v>0.1792</v>
      </c>
      <c r="H28" s="246">
        <v>0.23519999999999999</v>
      </c>
      <c r="I28" s="248"/>
      <c r="J28" s="251"/>
      <c r="K28" s="163"/>
      <c r="L28" s="163"/>
      <c r="M28" s="163"/>
      <c r="N28" s="163"/>
    </row>
    <row r="29" spans="1:14" ht="15" thickBot="1">
      <c r="A29" s="172" t="s">
        <v>183</v>
      </c>
      <c r="B29" s="317"/>
      <c r="C29" s="51"/>
      <c r="D29" s="163"/>
      <c r="E29" s="250"/>
      <c r="F29" s="250"/>
      <c r="G29" s="250"/>
      <c r="H29" s="163"/>
      <c r="I29" s="248"/>
      <c r="J29" s="251"/>
      <c r="K29" s="163"/>
      <c r="L29" s="163"/>
      <c r="M29" s="163"/>
      <c r="N29" s="163"/>
    </row>
    <row r="30" spans="1:14">
      <c r="A30" s="743" t="s">
        <v>91</v>
      </c>
      <c r="B30" s="744"/>
      <c r="C30" s="745"/>
      <c r="D30" s="163"/>
      <c r="E30" s="163"/>
      <c r="F30" s="163"/>
      <c r="G30" s="163"/>
      <c r="H30" s="163"/>
      <c r="I30" s="248"/>
      <c r="J30" s="251"/>
      <c r="K30" s="163"/>
      <c r="L30" s="163"/>
      <c r="M30" s="163"/>
      <c r="N30" s="163"/>
    </row>
    <row r="31" spans="1:14" ht="15" thickBot="1">
      <c r="A31" s="252" t="s">
        <v>92</v>
      </c>
      <c r="B31" s="253" t="s">
        <v>93</v>
      </c>
      <c r="C31" s="254" t="s">
        <v>94</v>
      </c>
      <c r="D31" s="251"/>
      <c r="E31" s="251"/>
      <c r="F31" s="251"/>
      <c r="G31" s="251"/>
      <c r="H31" s="251"/>
      <c r="I31" s="251"/>
      <c r="J31" s="251"/>
      <c r="K31" s="163"/>
      <c r="L31" s="163"/>
      <c r="M31" s="163"/>
      <c r="N31" s="163"/>
    </row>
    <row r="32" spans="1:14">
      <c r="A32" s="229" t="s">
        <v>252</v>
      </c>
      <c r="B32" s="256">
        <f>B27-B23</f>
        <v>72.832189508840202</v>
      </c>
      <c r="C32" s="158" t="s">
        <v>87</v>
      </c>
      <c r="D32" s="250"/>
      <c r="E32" s="163"/>
      <c r="F32" s="163"/>
      <c r="G32" s="163"/>
      <c r="H32" s="163"/>
      <c r="I32" s="250"/>
      <c r="J32" s="250"/>
      <c r="K32" s="163"/>
      <c r="L32" s="163"/>
      <c r="M32" s="163"/>
      <c r="N32" s="163"/>
    </row>
    <row r="33" spans="1:43">
      <c r="A33" s="257" t="s">
        <v>251</v>
      </c>
      <c r="B33" s="258">
        <f>B32*360</f>
        <v>26219.588223182473</v>
      </c>
      <c r="C33" s="52" t="s">
        <v>87</v>
      </c>
      <c r="D33" s="250"/>
      <c r="E33" s="251"/>
      <c r="F33" s="251"/>
      <c r="G33" s="251"/>
      <c r="H33" s="251"/>
      <c r="I33" s="250"/>
      <c r="J33" s="250"/>
      <c r="K33" s="163"/>
      <c r="L33" s="163"/>
      <c r="M33" s="163"/>
      <c r="N33" s="163"/>
    </row>
    <row r="34" spans="1:43">
      <c r="A34" s="257" t="s">
        <v>253</v>
      </c>
      <c r="B34" s="258">
        <f>B33*(1+B28)</f>
        <v>29749.220079522398</v>
      </c>
      <c r="C34" s="52"/>
      <c r="D34" s="250"/>
      <c r="E34" s="251"/>
      <c r="F34" s="251"/>
      <c r="G34" s="251"/>
      <c r="H34" s="251"/>
      <c r="I34" s="250"/>
      <c r="J34" s="250"/>
      <c r="K34" s="163"/>
      <c r="L34" s="163"/>
      <c r="M34" s="163"/>
      <c r="N34" s="163"/>
    </row>
    <row r="35" spans="1:43">
      <c r="A35" s="194" t="s">
        <v>247</v>
      </c>
      <c r="B35" s="262">
        <f>'Efecto piramidado '!E11</f>
        <v>1.116225367373036E-2</v>
      </c>
      <c r="C35" s="52"/>
      <c r="D35" s="250"/>
      <c r="E35" s="163"/>
      <c r="F35" s="163"/>
      <c r="G35" s="163"/>
      <c r="H35" s="163"/>
      <c r="I35" s="250"/>
      <c r="J35" s="250"/>
      <c r="K35" s="163"/>
      <c r="L35" s="163"/>
      <c r="M35" s="163"/>
      <c r="N35" s="163"/>
    </row>
    <row r="36" spans="1:43">
      <c r="A36" s="194" t="s">
        <v>248</v>
      </c>
      <c r="B36" s="262">
        <f>'Efecto piramidado '!E12</f>
        <v>1.7522020377643943E-2</v>
      </c>
      <c r="C36" s="52"/>
      <c r="D36" s="250"/>
      <c r="E36" s="251"/>
      <c r="F36" s="251"/>
      <c r="G36" s="251"/>
      <c r="H36" s="251"/>
      <c r="I36" s="250"/>
      <c r="J36" s="250"/>
      <c r="K36" s="163"/>
      <c r="L36" s="163"/>
      <c r="M36" s="163"/>
      <c r="N36" s="163"/>
    </row>
    <row r="37" spans="1:43">
      <c r="A37" s="194" t="s">
        <v>249</v>
      </c>
      <c r="B37" s="262">
        <f>(B34*1000000)/B38</f>
        <v>7.6817739944549851E-2</v>
      </c>
      <c r="C37" s="52"/>
      <c r="D37" s="250"/>
      <c r="E37" s="163"/>
      <c r="F37" s="163"/>
      <c r="G37" s="163"/>
      <c r="H37" s="163"/>
      <c r="I37" s="250"/>
      <c r="J37" s="250"/>
      <c r="K37" s="163"/>
      <c r="L37" s="163"/>
      <c r="M37" s="163"/>
      <c r="N37" s="163"/>
    </row>
    <row r="38" spans="1:43">
      <c r="A38" s="194" t="s">
        <v>238</v>
      </c>
      <c r="B38" s="266">
        <f>'Valores en precios 2014'!E45*1000000</f>
        <v>387270181353.89807</v>
      </c>
      <c r="C38" s="52" t="s">
        <v>85</v>
      </c>
      <c r="D38" s="250"/>
      <c r="E38" s="251"/>
      <c r="F38" s="251"/>
      <c r="G38" s="251"/>
      <c r="H38" s="251"/>
      <c r="I38" s="250"/>
      <c r="J38" s="250"/>
      <c r="K38" s="163"/>
      <c r="L38" s="163"/>
      <c r="M38" s="163"/>
      <c r="N38" s="163"/>
    </row>
    <row r="39" spans="1:43">
      <c r="A39" s="269" t="s">
        <v>239</v>
      </c>
      <c r="B39" s="270">
        <f>B38/365/(1+B28)/1000000</f>
        <v>935.1288951555299</v>
      </c>
      <c r="C39" s="52" t="s">
        <v>87</v>
      </c>
      <c r="D39" s="250"/>
      <c r="E39" s="163"/>
      <c r="F39" s="163"/>
      <c r="G39" s="163"/>
      <c r="H39" s="250"/>
      <c r="I39" s="250"/>
      <c r="J39" s="250"/>
      <c r="K39" s="163"/>
      <c r="L39" s="163"/>
      <c r="M39" s="163"/>
      <c r="N39" s="163"/>
    </row>
    <row r="40" spans="1:43">
      <c r="A40" s="194" t="s">
        <v>157</v>
      </c>
      <c r="B40" s="266">
        <f>B23-B39</f>
        <v>173.03871468912109</v>
      </c>
      <c r="C40" s="52" t="s">
        <v>87</v>
      </c>
      <c r="D40" s="250"/>
      <c r="E40" s="163"/>
      <c r="F40" s="163"/>
      <c r="G40" s="163"/>
      <c r="H40" s="250"/>
      <c r="I40" s="250"/>
      <c r="J40" s="250"/>
      <c r="K40" s="163"/>
      <c r="L40" s="163"/>
      <c r="M40" s="163"/>
      <c r="N40" s="163"/>
    </row>
    <row r="41" spans="1:43">
      <c r="A41" s="194" t="s">
        <v>158</v>
      </c>
      <c r="B41" s="332">
        <f>(B23-B39)/B23</f>
        <v>0.15614850420811216</v>
      </c>
      <c r="C41" s="52"/>
      <c r="D41" s="250"/>
      <c r="E41" s="163"/>
      <c r="F41" s="163"/>
      <c r="G41" s="163"/>
      <c r="H41" s="250"/>
      <c r="I41" s="250"/>
      <c r="J41" s="250"/>
      <c r="K41" s="163"/>
      <c r="L41" s="163"/>
      <c r="M41" s="163"/>
      <c r="N41" s="163"/>
    </row>
    <row r="42" spans="1:43">
      <c r="A42" s="194" t="s">
        <v>347</v>
      </c>
      <c r="B42" s="273">
        <f>($B$27-$B$23)/B14*1000000</f>
        <v>856849.28833929647</v>
      </c>
      <c r="C42" s="52"/>
      <c r="D42" s="278"/>
      <c r="E42" s="278"/>
      <c r="F42" s="278"/>
      <c r="G42" s="278"/>
      <c r="H42" s="278"/>
      <c r="I42" s="278"/>
      <c r="J42" s="278"/>
      <c r="K42" s="279"/>
      <c r="L42" s="275"/>
      <c r="M42" s="275"/>
      <c r="N42" s="275"/>
      <c r="O42" s="3"/>
      <c r="P42" s="3"/>
      <c r="Q42" s="3"/>
      <c r="R42" s="3"/>
      <c r="S42" s="3"/>
      <c r="T42" s="3"/>
      <c r="U42" s="3"/>
    </row>
    <row r="43" spans="1:43">
      <c r="A43" s="194" t="s">
        <v>348</v>
      </c>
      <c r="B43" s="276">
        <f>B42/$B$22</f>
        <v>9.8115169033310454E-2</v>
      </c>
      <c r="C43" s="277"/>
      <c r="D43" s="278"/>
      <c r="E43" s="278"/>
      <c r="F43" s="278"/>
      <c r="G43" s="278"/>
      <c r="H43" s="278"/>
      <c r="I43" s="278"/>
      <c r="J43" s="278"/>
      <c r="K43" s="279"/>
      <c r="L43" s="275"/>
      <c r="M43" s="275"/>
      <c r="N43" s="280"/>
      <c r="O43" s="4"/>
      <c r="P43" s="4"/>
      <c r="Q43" s="4"/>
      <c r="R43" s="4"/>
      <c r="S43" s="4"/>
      <c r="T43" s="4"/>
      <c r="U43" s="3"/>
    </row>
    <row r="44" spans="1:43" s="53" customFormat="1">
      <c r="A44" s="194" t="s">
        <v>349</v>
      </c>
      <c r="B44" s="274">
        <f>($B$27-$B$23)/B17*1000000</f>
        <v>538569.58828551346</v>
      </c>
      <c r="C44" s="277"/>
      <c r="D44" s="171"/>
      <c r="E44" s="171"/>
      <c r="F44" s="171"/>
      <c r="G44" s="171"/>
      <c r="H44" s="171"/>
      <c r="I44" s="171"/>
      <c r="J44" s="171"/>
      <c r="K44" s="171"/>
      <c r="L44" s="171"/>
      <c r="M44" s="171"/>
      <c r="N44" s="171"/>
    </row>
    <row r="45" spans="1:43" s="53" customFormat="1" ht="15" thickBot="1">
      <c r="A45" s="239" t="s">
        <v>348</v>
      </c>
      <c r="B45" s="282">
        <f>B44/$B$22</f>
        <v>6.1669942322352934E-2</v>
      </c>
      <c r="C45" s="283"/>
      <c r="D45" s="322"/>
      <c r="E45" s="322"/>
      <c r="F45" s="322"/>
      <c r="G45" s="322"/>
      <c r="H45" s="322"/>
      <c r="I45" s="322"/>
      <c r="J45" s="322"/>
      <c r="K45" s="322"/>
      <c r="L45" s="250"/>
      <c r="M45" s="322"/>
      <c r="N45" s="322"/>
      <c r="O45" s="6"/>
      <c r="P45" s="6"/>
      <c r="Q45" s="6"/>
      <c r="R45" s="6"/>
      <c r="S45" s="6"/>
      <c r="T45" s="6"/>
      <c r="U45" s="6"/>
      <c r="V45" s="49"/>
      <c r="W45" s="6"/>
      <c r="X45" s="6"/>
      <c r="Y45" s="6"/>
      <c r="Z45" s="6"/>
      <c r="AA45" s="6"/>
      <c r="AB45" s="6"/>
      <c r="AC45" s="6"/>
      <c r="AD45" s="6"/>
      <c r="AE45" s="6"/>
      <c r="AF45" s="6"/>
      <c r="AG45" s="6"/>
      <c r="AH45" s="6"/>
      <c r="AI45" s="6"/>
      <c r="AJ45" s="6"/>
      <c r="AK45" s="6"/>
      <c r="AL45" s="6"/>
      <c r="AM45" s="6"/>
      <c r="AN45" s="6"/>
      <c r="AO45" s="6"/>
      <c r="AP45" s="49"/>
      <c r="AQ45" s="49"/>
    </row>
    <row r="46" spans="1:43">
      <c r="A46" s="163"/>
      <c r="B46" s="168"/>
      <c r="C46" s="168"/>
      <c r="D46" s="163"/>
      <c r="E46" s="163"/>
      <c r="F46" s="163"/>
      <c r="G46" s="163"/>
      <c r="H46" s="163"/>
      <c r="I46" s="163"/>
      <c r="J46" s="163"/>
      <c r="K46" s="163"/>
      <c r="L46" s="163"/>
      <c r="M46" s="293"/>
      <c r="N46" s="293"/>
      <c r="O46" s="56"/>
      <c r="P46" s="56"/>
      <c r="Q46" s="56"/>
      <c r="R46" s="56"/>
    </row>
    <row r="47" spans="1:43">
      <c r="A47" s="172" t="s">
        <v>187</v>
      </c>
      <c r="B47" s="286"/>
      <c r="C47" s="168"/>
      <c r="D47" s="163"/>
      <c r="E47" s="163"/>
      <c r="F47" s="163"/>
      <c r="G47" s="163"/>
      <c r="H47" s="163"/>
      <c r="I47" s="163"/>
      <c r="J47" s="172" t="s">
        <v>186</v>
      </c>
      <c r="K47" s="163"/>
      <c r="L47" s="285"/>
      <c r="M47" s="293"/>
      <c r="N47" s="293"/>
      <c r="O47" s="56"/>
      <c r="P47" s="56"/>
      <c r="Q47" s="56"/>
      <c r="R47" s="56"/>
    </row>
    <row r="48" spans="1:43" ht="26.5" customHeight="1">
      <c r="A48" s="768"/>
      <c r="B48" s="768"/>
      <c r="C48" s="768"/>
      <c r="D48" s="768"/>
      <c r="E48" s="768"/>
      <c r="F48" s="768"/>
      <c r="G48" s="768"/>
      <c r="H48" s="768"/>
      <c r="I48" s="163"/>
      <c r="J48" s="350"/>
      <c r="K48" s="350"/>
      <c r="L48" s="350"/>
      <c r="M48" s="351"/>
      <c r="N48" s="351"/>
      <c r="O48" s="64"/>
      <c r="P48" s="64"/>
      <c r="Q48" s="64"/>
      <c r="R48" s="56"/>
    </row>
    <row r="49" spans="1:18">
      <c r="A49" s="172"/>
      <c r="B49" s="163"/>
      <c r="C49" s="163"/>
      <c r="D49" s="163"/>
      <c r="E49" s="163"/>
      <c r="F49" s="163"/>
      <c r="G49" s="163"/>
      <c r="H49" s="163"/>
      <c r="I49" s="163"/>
      <c r="J49" s="163"/>
      <c r="K49" s="163"/>
      <c r="L49" s="163"/>
      <c r="M49" s="293"/>
      <c r="N49" s="293"/>
      <c r="O49" s="56"/>
      <c r="P49" s="56"/>
      <c r="Q49" s="56"/>
      <c r="R49" s="56"/>
    </row>
    <row r="50" spans="1:18" s="56" customFormat="1">
      <c r="A50" s="291" t="s">
        <v>26</v>
      </c>
      <c r="B50" s="292"/>
      <c r="C50" s="292"/>
      <c r="D50" s="292"/>
      <c r="E50" s="292"/>
      <c r="F50" s="292"/>
      <c r="G50" s="292"/>
      <c r="H50" s="292"/>
      <c r="I50" s="293"/>
      <c r="J50" s="292">
        <f>B14</f>
        <v>85</v>
      </c>
      <c r="K50" s="292"/>
      <c r="L50" s="292"/>
      <c r="M50" s="293"/>
      <c r="N50" s="293"/>
    </row>
    <row r="51" spans="1:18" s="56" customFormat="1" ht="59.5" customHeight="1">
      <c r="A51" s="295" t="s">
        <v>27</v>
      </c>
      <c r="B51" s="296" t="s">
        <v>28</v>
      </c>
      <c r="C51" s="296" t="s">
        <v>33</v>
      </c>
      <c r="D51" s="296" t="s">
        <v>36</v>
      </c>
      <c r="E51" s="296" t="s">
        <v>32</v>
      </c>
      <c r="F51" s="296" t="s">
        <v>35</v>
      </c>
      <c r="G51" s="296" t="s">
        <v>34</v>
      </c>
      <c r="H51" s="296" t="s">
        <v>31</v>
      </c>
      <c r="I51" s="297"/>
      <c r="J51" s="295" t="s">
        <v>40</v>
      </c>
      <c r="K51" s="295" t="s">
        <v>41</v>
      </c>
      <c r="L51" s="295" t="s">
        <v>45</v>
      </c>
      <c r="M51" s="293"/>
      <c r="N51" s="293"/>
    </row>
    <row r="52" spans="1:18" s="56" customFormat="1">
      <c r="A52" s="292">
        <v>0.1</v>
      </c>
      <c r="B52" s="352">
        <f t="shared" ref="B52:B61" si="0">A52^$B$12</f>
        <v>0.954992586021436</v>
      </c>
      <c r="C52" s="300">
        <f>$B$64*B52</f>
        <v>2854916.6880396972</v>
      </c>
      <c r="D52" s="302">
        <f>D13</f>
        <v>67.290000000000006</v>
      </c>
      <c r="E52" s="301">
        <f>D52+$D$52*$A$52*$B$66</f>
        <v>74.019000000000005</v>
      </c>
      <c r="F52" s="301">
        <f>AVERAGE(E52,D52)</f>
        <v>70.654500000000013</v>
      </c>
      <c r="G52" s="301">
        <f t="shared" ref="G52:G61" si="1">H52*F52</f>
        <v>201712711.13510081</v>
      </c>
      <c r="H52" s="302">
        <f>C52</f>
        <v>2854916.6880396972</v>
      </c>
      <c r="I52" s="293"/>
      <c r="J52" s="292">
        <f>IF(F52&lt;$J$50,$J$50,F52)</f>
        <v>85</v>
      </c>
      <c r="K52" s="301">
        <f>H52*J52</f>
        <v>242667918.48337427</v>
      </c>
      <c r="L52" s="300">
        <f>IF(J52&gt;F52,H52,0)</f>
        <v>2854916.6880396972</v>
      </c>
      <c r="M52" s="293"/>
      <c r="N52" s="293"/>
    </row>
    <row r="53" spans="1:18" s="56" customFormat="1">
      <c r="A53" s="292">
        <f>A52+0.1</f>
        <v>0.2</v>
      </c>
      <c r="B53" s="352">
        <f t="shared" si="0"/>
        <v>0.96832378572562983</v>
      </c>
      <c r="C53" s="300">
        <f t="shared" ref="C53:C60" si="2">$B$64*B53</f>
        <v>2894769.8398486041</v>
      </c>
      <c r="D53" s="300">
        <f>E52</f>
        <v>74.019000000000005</v>
      </c>
      <c r="E53" s="301">
        <f t="shared" ref="E53:E61" si="3">D53+$D$52*$A$52*$B$66</f>
        <v>80.748000000000005</v>
      </c>
      <c r="F53" s="292">
        <f t="shared" ref="F53:F60" si="4">AVERAGE(E53,E52)</f>
        <v>77.383499999999998</v>
      </c>
      <c r="G53" s="301">
        <f t="shared" si="1"/>
        <v>3083976.3730045403</v>
      </c>
      <c r="H53" s="302">
        <f t="shared" ref="H53:H61" si="5">C53-C52</f>
        <v>39853.151808906812</v>
      </c>
      <c r="I53" s="293"/>
      <c r="J53" s="292">
        <f>IF(F53&lt;$J$50,$J$50,F53)</f>
        <v>85</v>
      </c>
      <c r="K53" s="302">
        <f t="shared" ref="K53:K61" si="6">H53*J53</f>
        <v>3387517.903757079</v>
      </c>
      <c r="L53" s="300">
        <f t="shared" ref="L53:L61" si="7">IF(J53&gt;F53,H53,0)</f>
        <v>39853.151808906812</v>
      </c>
      <c r="M53" s="293"/>
      <c r="N53" s="293"/>
    </row>
    <row r="54" spans="1:18" s="56" customFormat="1">
      <c r="A54" s="292">
        <f t="shared" ref="A54:A61" si="8">A53+0.1</f>
        <v>0.30000000000000004</v>
      </c>
      <c r="B54" s="352">
        <f t="shared" si="0"/>
        <v>0.97620814099778364</v>
      </c>
      <c r="C54" s="300">
        <f t="shared" si="2"/>
        <v>2918339.84214012</v>
      </c>
      <c r="D54" s="300">
        <f t="shared" ref="D54:D59" si="9">E53</f>
        <v>80.748000000000005</v>
      </c>
      <c r="E54" s="301">
        <f t="shared" si="3"/>
        <v>87.477000000000004</v>
      </c>
      <c r="F54" s="292">
        <f t="shared" si="4"/>
        <v>84.112500000000011</v>
      </c>
      <c r="G54" s="301">
        <f t="shared" si="1"/>
        <v>1982531.8177451345</v>
      </c>
      <c r="H54" s="302">
        <f t="shared" si="5"/>
        <v>23570.002291515935</v>
      </c>
      <c r="I54" s="293"/>
      <c r="J54" s="292">
        <f t="shared" ref="J54:J61" si="10">IF(F54&lt;$J$50,$J$50,F54)</f>
        <v>85</v>
      </c>
      <c r="K54" s="302">
        <f t="shared" si="6"/>
        <v>2003450.1947788545</v>
      </c>
      <c r="L54" s="300">
        <f>IF(J54&gt;F54,H54,0)</f>
        <v>23570.002291515935</v>
      </c>
      <c r="M54" s="293"/>
      <c r="N54" s="293"/>
    </row>
    <row r="55" spans="1:18" s="56" customFormat="1">
      <c r="A55" s="292">
        <f t="shared" si="8"/>
        <v>0.4</v>
      </c>
      <c r="B55" s="352">
        <f t="shared" si="0"/>
        <v>0.98184108204267129</v>
      </c>
      <c r="C55" s="300">
        <f t="shared" si="2"/>
        <v>2935179.3209247566</v>
      </c>
      <c r="D55" s="300">
        <f t="shared" si="9"/>
        <v>87.477000000000004</v>
      </c>
      <c r="E55" s="301">
        <f t="shared" si="3"/>
        <v>94.206000000000003</v>
      </c>
      <c r="F55" s="292">
        <f t="shared" si="4"/>
        <v>90.841499999999996</v>
      </c>
      <c r="G55" s="301">
        <f t="shared" si="1"/>
        <v>1529723.5120145651</v>
      </c>
      <c r="H55" s="302">
        <f t="shared" si="5"/>
        <v>16839.478784636594</v>
      </c>
      <c r="I55" s="293"/>
      <c r="J55" s="292">
        <f t="shared" si="10"/>
        <v>90.841499999999996</v>
      </c>
      <c r="K55" s="302">
        <f t="shared" si="6"/>
        <v>1529723.5120145651</v>
      </c>
      <c r="L55" s="300">
        <f t="shared" si="7"/>
        <v>0</v>
      </c>
      <c r="M55" s="293"/>
      <c r="N55" s="293"/>
    </row>
    <row r="56" spans="1:18" s="56" customFormat="1">
      <c r="A56" s="292">
        <f t="shared" si="8"/>
        <v>0.5</v>
      </c>
      <c r="B56" s="352">
        <f t="shared" si="0"/>
        <v>0.9862327044933592</v>
      </c>
      <c r="C56" s="300">
        <f t="shared" si="2"/>
        <v>2948307.9215082144</v>
      </c>
      <c r="D56" s="300">
        <f t="shared" si="9"/>
        <v>94.206000000000003</v>
      </c>
      <c r="E56" s="301">
        <f t="shared" si="3"/>
        <v>100.935</v>
      </c>
      <c r="F56" s="292">
        <f t="shared" si="4"/>
        <v>97.57050000000001</v>
      </c>
      <c r="G56" s="301">
        <f t="shared" si="1"/>
        <v>1280964.1232282748</v>
      </c>
      <c r="H56" s="302">
        <f t="shared" si="5"/>
        <v>13128.600583457854</v>
      </c>
      <c r="I56" s="293"/>
      <c r="J56" s="292">
        <f t="shared" si="10"/>
        <v>97.57050000000001</v>
      </c>
      <c r="K56" s="302">
        <f t="shared" si="6"/>
        <v>1280964.1232282748</v>
      </c>
      <c r="L56" s="300">
        <f t="shared" si="7"/>
        <v>0</v>
      </c>
      <c r="M56" s="293"/>
      <c r="N56" s="293"/>
    </row>
    <row r="57" spans="1:18" s="56" customFormat="1">
      <c r="A57" s="292">
        <f t="shared" si="8"/>
        <v>0.6</v>
      </c>
      <c r="B57" s="352">
        <f t="shared" si="0"/>
        <v>0.98983549881290411</v>
      </c>
      <c r="C57" s="300">
        <f t="shared" si="2"/>
        <v>2959078.3481869115</v>
      </c>
      <c r="D57" s="300">
        <f t="shared" si="9"/>
        <v>100.935</v>
      </c>
      <c r="E57" s="301">
        <f t="shared" si="3"/>
        <v>107.664</v>
      </c>
      <c r="F57" s="292">
        <f t="shared" si="4"/>
        <v>104.29949999999999</v>
      </c>
      <c r="G57" s="301">
        <f t="shared" si="1"/>
        <v>1123350.1173747694</v>
      </c>
      <c r="H57" s="302">
        <f t="shared" si="5"/>
        <v>10770.426678697113</v>
      </c>
      <c r="I57" s="293"/>
      <c r="J57" s="292">
        <f t="shared" si="10"/>
        <v>104.29949999999999</v>
      </c>
      <c r="K57" s="302">
        <f t="shared" si="6"/>
        <v>1123350.1173747694</v>
      </c>
      <c r="L57" s="300">
        <f t="shared" si="7"/>
        <v>0</v>
      </c>
      <c r="M57" s="293"/>
      <c r="N57" s="293"/>
    </row>
    <row r="58" spans="1:18" s="56" customFormat="1">
      <c r="A58" s="292">
        <f t="shared" si="8"/>
        <v>0.7</v>
      </c>
      <c r="B58" s="352">
        <f t="shared" si="0"/>
        <v>0.99289188413193019</v>
      </c>
      <c r="C58" s="300">
        <f t="shared" si="2"/>
        <v>2968215.3044105396</v>
      </c>
      <c r="D58" s="300">
        <f t="shared" si="9"/>
        <v>107.664</v>
      </c>
      <c r="E58" s="301">
        <f t="shared" si="3"/>
        <v>114.393</v>
      </c>
      <c r="F58" s="292">
        <f t="shared" si="4"/>
        <v>111.02850000000001</v>
      </c>
      <c r="G58" s="302">
        <f t="shared" si="1"/>
        <v>1014462.5440750835</v>
      </c>
      <c r="H58" s="302">
        <f t="shared" si="5"/>
        <v>9136.9562236280181</v>
      </c>
      <c r="I58" s="293"/>
      <c r="J58" s="292">
        <f t="shared" si="10"/>
        <v>111.02850000000001</v>
      </c>
      <c r="K58" s="302">
        <f t="shared" si="6"/>
        <v>1014462.5440750835</v>
      </c>
      <c r="L58" s="300">
        <f t="shared" si="7"/>
        <v>0</v>
      </c>
      <c r="M58" s="293"/>
      <c r="N58" s="293"/>
    </row>
    <row r="59" spans="1:18" s="56" customFormat="1">
      <c r="A59" s="292">
        <f t="shared" si="8"/>
        <v>0.79999999999999993</v>
      </c>
      <c r="B59" s="352">
        <f t="shared" si="0"/>
        <v>0.9955470727844663</v>
      </c>
      <c r="C59" s="300">
        <f t="shared" si="2"/>
        <v>2976152.8973353175</v>
      </c>
      <c r="D59" s="300">
        <f t="shared" si="9"/>
        <v>114.393</v>
      </c>
      <c r="E59" s="301">
        <f t="shared" si="3"/>
        <v>121.122</v>
      </c>
      <c r="F59" s="292">
        <f t="shared" si="4"/>
        <v>117.75749999999999</v>
      </c>
      <c r="G59" s="301">
        <f t="shared" si="1"/>
        <v>934711.09883953165</v>
      </c>
      <c r="H59" s="302">
        <f t="shared" si="5"/>
        <v>7937.592924777884</v>
      </c>
      <c r="I59" s="293"/>
      <c r="J59" s="292">
        <f t="shared" si="10"/>
        <v>117.75749999999999</v>
      </c>
      <c r="K59" s="302">
        <f t="shared" si="6"/>
        <v>934711.09883953165</v>
      </c>
      <c r="L59" s="300">
        <f t="shared" si="7"/>
        <v>0</v>
      </c>
      <c r="M59" s="293"/>
      <c r="N59" s="293"/>
    </row>
    <row r="60" spans="1:18" s="56" customFormat="1">
      <c r="A60" s="292">
        <f t="shared" si="8"/>
        <v>0.89999999999999991</v>
      </c>
      <c r="B60" s="352">
        <f t="shared" si="0"/>
        <v>0.9978950082958632</v>
      </c>
      <c r="C60" s="300">
        <f t="shared" si="2"/>
        <v>2983171.9678203082</v>
      </c>
      <c r="D60" s="300">
        <f>E59</f>
        <v>121.122</v>
      </c>
      <c r="E60" s="301">
        <f t="shared" si="3"/>
        <v>127.851</v>
      </c>
      <c r="F60" s="292">
        <f t="shared" si="4"/>
        <v>124.48650000000001</v>
      </c>
      <c r="G60" s="301">
        <f t="shared" si="1"/>
        <v>873779.51792979729</v>
      </c>
      <c r="H60" s="302">
        <f t="shared" si="5"/>
        <v>7019.0704849907197</v>
      </c>
      <c r="I60" s="293"/>
      <c r="J60" s="292">
        <f t="shared" si="10"/>
        <v>124.48650000000001</v>
      </c>
      <c r="K60" s="302">
        <f t="shared" si="6"/>
        <v>873779.51792979729</v>
      </c>
      <c r="L60" s="300">
        <f t="shared" si="7"/>
        <v>0</v>
      </c>
      <c r="M60" s="293"/>
      <c r="N60" s="293"/>
    </row>
    <row r="61" spans="1:18" s="56" customFormat="1">
      <c r="A61" s="292">
        <f t="shared" si="8"/>
        <v>0.99999999999999989</v>
      </c>
      <c r="B61" s="352">
        <f t="shared" si="0"/>
        <v>1</v>
      </c>
      <c r="C61" s="300">
        <f>$B$64*B61</f>
        <v>2989464.766353291</v>
      </c>
      <c r="D61" s="300">
        <f>E60</f>
        <v>127.851</v>
      </c>
      <c r="E61" s="292">
        <f t="shared" si="3"/>
        <v>134.58000000000001</v>
      </c>
      <c r="F61" s="301">
        <f>AVERAGE(E61,E60)</f>
        <v>131.21550000000002</v>
      </c>
      <c r="G61" s="302">
        <f t="shared" si="1"/>
        <v>825712.70590460766</v>
      </c>
      <c r="H61" s="302">
        <f t="shared" si="5"/>
        <v>6292.7985329828225</v>
      </c>
      <c r="I61" s="293"/>
      <c r="J61" s="292">
        <f t="shared" si="10"/>
        <v>131.21550000000002</v>
      </c>
      <c r="K61" s="302">
        <f t="shared" si="6"/>
        <v>825712.70590460766</v>
      </c>
      <c r="L61" s="300">
        <f t="shared" si="7"/>
        <v>0</v>
      </c>
      <c r="M61" s="293"/>
      <c r="N61" s="293"/>
    </row>
    <row r="62" spans="1:18" s="56" customFormat="1">
      <c r="A62" s="292"/>
      <c r="B62" s="292"/>
      <c r="C62" s="292"/>
      <c r="D62" s="292"/>
      <c r="E62" s="292"/>
      <c r="F62" s="302"/>
      <c r="G62" s="302">
        <f>SUM(G52:G61)</f>
        <v>214361922.9452171</v>
      </c>
      <c r="H62" s="302">
        <f>SUM(H52:H61)</f>
        <v>2989464.766353291</v>
      </c>
      <c r="I62" s="293"/>
      <c r="J62" s="292"/>
      <c r="K62" s="302">
        <f>SUM(K52:K61)</f>
        <v>255641590.20127681</v>
      </c>
      <c r="L62" s="302">
        <f>SUM(L52:L61)</f>
        <v>2918339.84214012</v>
      </c>
      <c r="M62" s="293"/>
      <c r="N62" s="293"/>
    </row>
    <row r="63" spans="1:18" s="56" customFormat="1">
      <c r="A63" s="292"/>
      <c r="B63" s="292"/>
      <c r="C63" s="292"/>
      <c r="D63" s="292"/>
      <c r="E63" s="292"/>
      <c r="F63" s="292"/>
      <c r="G63" s="292"/>
      <c r="H63" s="292"/>
      <c r="I63" s="293"/>
      <c r="J63" s="292"/>
      <c r="K63" s="300">
        <f>SUMIF(J52:J61,"&gt;"&amp;J50,K52:K61)</f>
        <v>7582703.619366629</v>
      </c>
      <c r="L63" s="302">
        <f>H62-L62</f>
        <v>71124.924213171005</v>
      </c>
      <c r="M63" s="293"/>
      <c r="N63" s="293"/>
    </row>
    <row r="64" spans="1:18" s="56" customFormat="1">
      <c r="A64" s="295" t="s">
        <v>30</v>
      </c>
      <c r="B64" s="305">
        <f>E22</f>
        <v>2989464.766353291</v>
      </c>
      <c r="C64" s="292"/>
      <c r="D64" s="292"/>
      <c r="E64" s="292"/>
      <c r="F64" s="292"/>
      <c r="G64" s="292"/>
      <c r="H64" s="292"/>
      <c r="I64" s="293"/>
      <c r="J64" s="292"/>
      <c r="K64" s="292"/>
      <c r="L64" s="292"/>
      <c r="M64" s="293"/>
      <c r="N64" s="293"/>
    </row>
    <row r="65" spans="1:14" s="56" customFormat="1">
      <c r="A65" s="295" t="s">
        <v>71</v>
      </c>
      <c r="B65" s="292">
        <f>G62/H62</f>
        <v>71.705786720713633</v>
      </c>
      <c r="C65" s="292"/>
      <c r="D65" s="292"/>
      <c r="E65" s="292"/>
      <c r="F65" s="292"/>
      <c r="G65" s="292"/>
      <c r="H65" s="292"/>
      <c r="I65" s="293"/>
      <c r="J65" s="292"/>
      <c r="K65" s="292"/>
      <c r="L65" s="292"/>
      <c r="M65" s="293"/>
      <c r="N65" s="293"/>
    </row>
    <row r="66" spans="1:14" s="56" customFormat="1">
      <c r="A66" s="295" t="s">
        <v>43</v>
      </c>
      <c r="B66" s="292">
        <v>1</v>
      </c>
      <c r="C66" s="292"/>
      <c r="D66" s="292"/>
      <c r="E66" s="292"/>
      <c r="F66" s="292"/>
      <c r="G66" s="292"/>
      <c r="H66" s="292"/>
      <c r="I66" s="293"/>
      <c r="J66" s="292"/>
      <c r="K66" s="292"/>
      <c r="L66" s="292"/>
      <c r="M66" s="293"/>
      <c r="N66" s="293"/>
    </row>
    <row r="67" spans="1:14" s="56" customFormat="1">
      <c r="A67" s="295" t="s">
        <v>44</v>
      </c>
      <c r="B67" s="301">
        <f>G62*360</f>
        <v>77170292260.278152</v>
      </c>
      <c r="C67" s="292"/>
      <c r="D67" s="292"/>
      <c r="E67" s="292"/>
      <c r="F67" s="292"/>
      <c r="G67" s="292"/>
      <c r="H67" s="292"/>
      <c r="I67" s="293"/>
      <c r="J67" s="292"/>
      <c r="K67" s="292"/>
      <c r="L67" s="292"/>
      <c r="M67" s="293"/>
      <c r="N67" s="293"/>
    </row>
    <row r="68" spans="1:14" s="56" customFormat="1">
      <c r="A68" s="353" t="s">
        <v>188</v>
      </c>
      <c r="B68" s="292">
        <f>K63/L63</f>
        <v>106.61106079551301</v>
      </c>
      <c r="C68" s="292"/>
      <c r="D68" s="292"/>
      <c r="E68" s="292"/>
      <c r="F68" s="292"/>
      <c r="G68" s="292"/>
      <c r="H68" s="292"/>
      <c r="I68" s="293"/>
      <c r="J68" s="292"/>
      <c r="K68" s="292"/>
      <c r="L68" s="292"/>
      <c r="M68" s="293"/>
      <c r="N68" s="293"/>
    </row>
    <row r="69" spans="1:14" s="56" customFormat="1">
      <c r="A69" s="295" t="s">
        <v>42</v>
      </c>
      <c r="B69" s="306">
        <f>K62/G62-1</f>
        <v>0.19256996153467631</v>
      </c>
      <c r="C69" s="292"/>
      <c r="D69" s="292"/>
      <c r="E69" s="292"/>
      <c r="F69" s="292"/>
      <c r="G69" s="292"/>
      <c r="H69" s="292"/>
      <c r="I69" s="293"/>
      <c r="J69" s="292"/>
      <c r="K69" s="292"/>
      <c r="L69" s="292"/>
      <c r="M69" s="293"/>
      <c r="N69" s="293"/>
    </row>
    <row r="70" spans="1:14">
      <c r="A70" s="163"/>
      <c r="B70" s="228"/>
      <c r="C70" s="163"/>
      <c r="D70" s="163"/>
      <c r="E70" s="163"/>
      <c r="F70" s="163"/>
      <c r="G70" s="163"/>
      <c r="H70" s="163"/>
      <c r="I70" s="293"/>
      <c r="J70" s="163"/>
      <c r="K70" s="163"/>
      <c r="L70" s="163"/>
      <c r="M70" s="163"/>
      <c r="N70" s="163"/>
    </row>
    <row r="71" spans="1:14">
      <c r="A71" s="163"/>
      <c r="B71" s="228"/>
      <c r="C71" s="163"/>
      <c r="D71" s="163"/>
      <c r="E71" s="163"/>
      <c r="F71" s="163"/>
      <c r="G71" s="163"/>
      <c r="H71" s="163"/>
      <c r="I71" s="293"/>
      <c r="J71" s="163"/>
      <c r="K71" s="163"/>
      <c r="L71" s="163"/>
      <c r="M71" s="163"/>
      <c r="N71" s="163"/>
    </row>
    <row r="72" spans="1:14">
      <c r="A72" s="291" t="s">
        <v>38</v>
      </c>
      <c r="B72" s="292"/>
      <c r="C72" s="292"/>
      <c r="D72" s="292"/>
      <c r="E72" s="292"/>
      <c r="F72" s="292"/>
      <c r="G72" s="292"/>
      <c r="H72" s="292"/>
      <c r="I72" s="293"/>
      <c r="J72" s="292"/>
      <c r="K72" s="292"/>
      <c r="L72" s="292"/>
      <c r="M72" s="163"/>
      <c r="N72" s="163"/>
    </row>
    <row r="73" spans="1:14" ht="28">
      <c r="A73" s="295" t="s">
        <v>27</v>
      </c>
      <c r="B73" s="296" t="s">
        <v>28</v>
      </c>
      <c r="C73" s="296" t="s">
        <v>33</v>
      </c>
      <c r="D73" s="296" t="s">
        <v>36</v>
      </c>
      <c r="E73" s="296" t="s">
        <v>32</v>
      </c>
      <c r="F73" s="296" t="s">
        <v>35</v>
      </c>
      <c r="G73" s="296" t="s">
        <v>34</v>
      </c>
      <c r="H73" s="296" t="s">
        <v>31</v>
      </c>
      <c r="I73" s="297"/>
      <c r="J73" s="295" t="s">
        <v>40</v>
      </c>
      <c r="K73" s="295" t="s">
        <v>41</v>
      </c>
      <c r="L73" s="295" t="s">
        <v>45</v>
      </c>
      <c r="M73" s="163"/>
      <c r="N73" s="163"/>
    </row>
    <row r="74" spans="1:14">
      <c r="A74" s="292">
        <v>0.1</v>
      </c>
      <c r="B74" s="292">
        <f t="shared" ref="B74:B83" si="11">A74^$B$12</f>
        <v>0.954992586021436</v>
      </c>
      <c r="C74" s="300">
        <f t="shared" ref="C74:C83" si="12">$B$86*B74</f>
        <v>2172241.8220196059</v>
      </c>
      <c r="D74" s="292">
        <f>E11</f>
        <v>134.58000000000001</v>
      </c>
      <c r="E74" s="292">
        <f t="shared" ref="E74:E83" si="13">D74+$D$52*$A$74*$B$88</f>
        <v>141.30900000000003</v>
      </c>
      <c r="F74" s="292">
        <f>AVERAGE(E74,D74)</f>
        <v>137.94450000000001</v>
      </c>
      <c r="G74" s="301">
        <f t="shared" ref="G74:G83" si="14">H74*F74</f>
        <v>299648812.01758355</v>
      </c>
      <c r="H74" s="302">
        <f>C74</f>
        <v>2172241.8220196059</v>
      </c>
      <c r="I74" s="293"/>
      <c r="J74" s="292">
        <f>IF(F74&lt;$J$50,$J$50,F74)</f>
        <v>137.94450000000001</v>
      </c>
      <c r="K74" s="302">
        <f>H74*J74</f>
        <v>299648812.01758355</v>
      </c>
      <c r="L74" s="300">
        <f>IF(J74&gt;F74,H74,0)</f>
        <v>0</v>
      </c>
      <c r="M74" s="163"/>
      <c r="N74" s="163"/>
    </row>
    <row r="75" spans="1:14">
      <c r="A75" s="292">
        <f>A74+0.1</f>
        <v>0.2</v>
      </c>
      <c r="B75" s="292">
        <f t="shared" si="11"/>
        <v>0.96832378572562983</v>
      </c>
      <c r="C75" s="300">
        <f t="shared" si="12"/>
        <v>2202565.1878331448</v>
      </c>
      <c r="D75" s="300">
        <f>E74</f>
        <v>141.30900000000003</v>
      </c>
      <c r="E75" s="292">
        <f t="shared" si="13"/>
        <v>148.03800000000004</v>
      </c>
      <c r="F75" s="292">
        <f t="shared" ref="F75:F83" si="15">AVERAGE(E75,E74)</f>
        <v>144.67350000000005</v>
      </c>
      <c r="G75" s="301">
        <f t="shared" si="14"/>
        <v>4386987.4640250215</v>
      </c>
      <c r="H75" s="302">
        <f t="shared" ref="H75:H83" si="16">C75-C74</f>
        <v>30323.365813538898</v>
      </c>
      <c r="I75" s="293"/>
      <c r="J75" s="292">
        <f t="shared" ref="J75:J83" si="17">IF(F75&lt;$J$50,$J$50,F75)</f>
        <v>144.67350000000005</v>
      </c>
      <c r="K75" s="302">
        <f t="shared" ref="K75:K83" si="18">H75*J75</f>
        <v>4386987.4640250215</v>
      </c>
      <c r="L75" s="300">
        <f t="shared" ref="L75:L83" si="19">IF(J75&gt;F75,H75,0)</f>
        <v>0</v>
      </c>
      <c r="M75" s="163"/>
      <c r="N75" s="163"/>
    </row>
    <row r="76" spans="1:14">
      <c r="A76" s="292">
        <f t="shared" ref="A76:A83" si="20">A75+0.1</f>
        <v>0.30000000000000004</v>
      </c>
      <c r="B76" s="292">
        <f t="shared" si="11"/>
        <v>0.97620814099778364</v>
      </c>
      <c r="C76" s="300">
        <f t="shared" si="12"/>
        <v>2220499.0718365633</v>
      </c>
      <c r="D76" s="300">
        <f t="shared" ref="D76:D83" si="21">E75</f>
        <v>148.03800000000004</v>
      </c>
      <c r="E76" s="292">
        <f t="shared" si="13"/>
        <v>154.76700000000005</v>
      </c>
      <c r="F76" s="292">
        <f t="shared" si="15"/>
        <v>151.40250000000003</v>
      </c>
      <c r="G76" s="301">
        <f t="shared" si="14"/>
        <v>2715234.8728275695</v>
      </c>
      <c r="H76" s="302">
        <f t="shared" si="16"/>
        <v>17933.884003418498</v>
      </c>
      <c r="I76" s="293"/>
      <c r="J76" s="292">
        <f t="shared" si="17"/>
        <v>151.40250000000003</v>
      </c>
      <c r="K76" s="302">
        <f t="shared" si="18"/>
        <v>2715234.8728275695</v>
      </c>
      <c r="L76" s="300">
        <f t="shared" si="19"/>
        <v>0</v>
      </c>
      <c r="M76" s="163"/>
      <c r="N76" s="163"/>
    </row>
    <row r="77" spans="1:14">
      <c r="A77" s="292">
        <f t="shared" si="20"/>
        <v>0.4</v>
      </c>
      <c r="B77" s="292">
        <f t="shared" si="11"/>
        <v>0.98184108204267129</v>
      </c>
      <c r="C77" s="300">
        <f t="shared" si="12"/>
        <v>2233311.8520589233</v>
      </c>
      <c r="D77" s="300">
        <f t="shared" si="21"/>
        <v>154.76700000000005</v>
      </c>
      <c r="E77" s="292">
        <f t="shared" si="13"/>
        <v>161.49600000000007</v>
      </c>
      <c r="F77" s="292">
        <f t="shared" si="15"/>
        <v>158.13150000000007</v>
      </c>
      <c r="G77" s="301">
        <f t="shared" si="14"/>
        <v>2026104.1557321283</v>
      </c>
      <c r="H77" s="302">
        <f t="shared" si="16"/>
        <v>12812.780222360045</v>
      </c>
      <c r="I77" s="293"/>
      <c r="J77" s="292">
        <f t="shared" si="17"/>
        <v>158.13150000000007</v>
      </c>
      <c r="K77" s="302">
        <f t="shared" si="18"/>
        <v>2026104.1557321283</v>
      </c>
      <c r="L77" s="300">
        <f t="shared" si="19"/>
        <v>0</v>
      </c>
      <c r="M77" s="163"/>
      <c r="N77" s="163"/>
    </row>
    <row r="78" spans="1:14">
      <c r="A78" s="292">
        <f t="shared" si="20"/>
        <v>0.5</v>
      </c>
      <c r="B78" s="292">
        <f t="shared" si="11"/>
        <v>0.9862327044933592</v>
      </c>
      <c r="C78" s="300">
        <f t="shared" si="12"/>
        <v>2243301.1086181258</v>
      </c>
      <c r="D78" s="300">
        <f t="shared" si="21"/>
        <v>161.49600000000007</v>
      </c>
      <c r="E78" s="292">
        <f t="shared" si="13"/>
        <v>168.22500000000008</v>
      </c>
      <c r="F78" s="292">
        <f t="shared" si="15"/>
        <v>164.86050000000006</v>
      </c>
      <c r="G78" s="301">
        <f t="shared" si="14"/>
        <v>1646833.8309783957</v>
      </c>
      <c r="H78" s="302">
        <f t="shared" si="16"/>
        <v>9989.2565592024475</v>
      </c>
      <c r="I78" s="293"/>
      <c r="J78" s="292">
        <f t="shared" si="17"/>
        <v>164.86050000000006</v>
      </c>
      <c r="K78" s="302">
        <f t="shared" si="18"/>
        <v>1646833.8309783957</v>
      </c>
      <c r="L78" s="300">
        <f t="shared" si="19"/>
        <v>0</v>
      </c>
      <c r="M78" s="163"/>
      <c r="N78" s="163"/>
    </row>
    <row r="79" spans="1:14">
      <c r="A79" s="292">
        <f t="shared" si="20"/>
        <v>0.6</v>
      </c>
      <c r="B79" s="292">
        <f t="shared" si="11"/>
        <v>0.98983549881290411</v>
      </c>
      <c r="C79" s="300">
        <f t="shared" si="12"/>
        <v>2251496.083753644</v>
      </c>
      <c r="D79" s="300">
        <f t="shared" si="21"/>
        <v>168.22500000000008</v>
      </c>
      <c r="E79" s="292">
        <f t="shared" si="13"/>
        <v>174.95400000000009</v>
      </c>
      <c r="F79" s="292">
        <f t="shared" si="15"/>
        <v>171.5895000000001</v>
      </c>
      <c r="G79" s="301">
        <f t="shared" si="14"/>
        <v>1406171.6860160076</v>
      </c>
      <c r="H79" s="302">
        <f t="shared" si="16"/>
        <v>8194.9751355182379</v>
      </c>
      <c r="I79" s="293"/>
      <c r="J79" s="292">
        <f t="shared" si="17"/>
        <v>171.5895000000001</v>
      </c>
      <c r="K79" s="302">
        <f t="shared" si="18"/>
        <v>1406171.6860160076</v>
      </c>
      <c r="L79" s="300">
        <f t="shared" si="19"/>
        <v>0</v>
      </c>
      <c r="M79" s="163"/>
      <c r="N79" s="163"/>
    </row>
    <row r="80" spans="1:14">
      <c r="A80" s="292">
        <f t="shared" si="20"/>
        <v>0.7</v>
      </c>
      <c r="B80" s="292">
        <f t="shared" si="11"/>
        <v>0.99289188413193019</v>
      </c>
      <c r="C80" s="300">
        <f t="shared" si="12"/>
        <v>2258448.1880017566</v>
      </c>
      <c r="D80" s="300">
        <f t="shared" si="21"/>
        <v>174.95400000000009</v>
      </c>
      <c r="E80" s="292">
        <f t="shared" si="13"/>
        <v>181.68300000000011</v>
      </c>
      <c r="F80" s="292">
        <f t="shared" si="15"/>
        <v>178.31850000000009</v>
      </c>
      <c r="G80" s="301">
        <f t="shared" si="14"/>
        <v>1239688.8013670554</v>
      </c>
      <c r="H80" s="302">
        <f t="shared" si="16"/>
        <v>6952.1042481125332</v>
      </c>
      <c r="I80" s="293"/>
      <c r="J80" s="292">
        <f t="shared" si="17"/>
        <v>178.31850000000009</v>
      </c>
      <c r="K80" s="302">
        <f t="shared" si="18"/>
        <v>1239688.8013670554</v>
      </c>
      <c r="L80" s="300">
        <f t="shared" si="19"/>
        <v>0</v>
      </c>
      <c r="M80" s="163"/>
      <c r="N80" s="163"/>
    </row>
    <row r="81" spans="1:14">
      <c r="A81" s="292">
        <f t="shared" si="20"/>
        <v>0.79999999999999993</v>
      </c>
      <c r="B81" s="292">
        <f t="shared" si="11"/>
        <v>0.9955470727844663</v>
      </c>
      <c r="C81" s="300">
        <f t="shared" si="12"/>
        <v>2264487.7237225724</v>
      </c>
      <c r="D81" s="300">
        <f t="shared" si="21"/>
        <v>181.68300000000011</v>
      </c>
      <c r="E81" s="292">
        <f t="shared" si="13"/>
        <v>188.41200000000012</v>
      </c>
      <c r="F81" s="292">
        <f t="shared" si="15"/>
        <v>185.04750000000013</v>
      </c>
      <c r="G81" s="301">
        <f t="shared" si="14"/>
        <v>1117600.9862976777</v>
      </c>
      <c r="H81" s="302">
        <f t="shared" si="16"/>
        <v>6039.5357208158821</v>
      </c>
      <c r="I81" s="293"/>
      <c r="J81" s="292">
        <f t="shared" si="17"/>
        <v>185.04750000000013</v>
      </c>
      <c r="K81" s="302">
        <f t="shared" si="18"/>
        <v>1117600.9862976777</v>
      </c>
      <c r="L81" s="300">
        <f t="shared" si="19"/>
        <v>0</v>
      </c>
      <c r="M81" s="163"/>
      <c r="N81" s="163"/>
    </row>
    <row r="82" spans="1:14">
      <c r="A82" s="292">
        <f t="shared" si="20"/>
        <v>0.89999999999999991</v>
      </c>
      <c r="B82" s="292">
        <f t="shared" si="11"/>
        <v>0.9978950082958632</v>
      </c>
      <c r="C82" s="300">
        <f t="shared" si="12"/>
        <v>2269828.3764018873</v>
      </c>
      <c r="D82" s="300">
        <f t="shared" si="21"/>
        <v>188.41200000000012</v>
      </c>
      <c r="E82" s="292">
        <f t="shared" si="13"/>
        <v>195.14100000000013</v>
      </c>
      <c r="F82" s="292">
        <f t="shared" si="15"/>
        <v>191.77650000000011</v>
      </c>
      <c r="G82" s="301">
        <f t="shared" si="14"/>
        <v>1024211.6785546225</v>
      </c>
      <c r="H82" s="302">
        <f t="shared" si="16"/>
        <v>5340.6526793148369</v>
      </c>
      <c r="I82" s="293"/>
      <c r="J82" s="292">
        <f t="shared" si="17"/>
        <v>191.77650000000011</v>
      </c>
      <c r="K82" s="302">
        <f t="shared" si="18"/>
        <v>1024211.6785546225</v>
      </c>
      <c r="L82" s="300">
        <f t="shared" si="19"/>
        <v>0</v>
      </c>
      <c r="M82" s="163"/>
      <c r="N82" s="163"/>
    </row>
    <row r="83" spans="1:14">
      <c r="A83" s="292">
        <f t="shared" si="20"/>
        <v>0.99999999999999989</v>
      </c>
      <c r="B83" s="292">
        <f t="shared" si="11"/>
        <v>1</v>
      </c>
      <c r="C83" s="300">
        <f t="shared" si="12"/>
        <v>2274616.4251068304</v>
      </c>
      <c r="D83" s="300">
        <f t="shared" si="21"/>
        <v>195.14100000000013</v>
      </c>
      <c r="E83" s="292">
        <f t="shared" si="13"/>
        <v>201.87000000000015</v>
      </c>
      <c r="F83" s="292">
        <f t="shared" si="15"/>
        <v>198.50550000000015</v>
      </c>
      <c r="G83" s="301">
        <f t="shared" si="14"/>
        <v>950454.00219909404</v>
      </c>
      <c r="H83" s="302">
        <f t="shared" si="16"/>
        <v>4788.048704943154</v>
      </c>
      <c r="I83" s="293"/>
      <c r="J83" s="292">
        <f t="shared" si="17"/>
        <v>198.50550000000015</v>
      </c>
      <c r="K83" s="302">
        <f t="shared" si="18"/>
        <v>950454.00219909404</v>
      </c>
      <c r="L83" s="300">
        <f t="shared" si="19"/>
        <v>0</v>
      </c>
      <c r="M83" s="163"/>
      <c r="N83" s="163"/>
    </row>
    <row r="84" spans="1:14">
      <c r="A84" s="292"/>
      <c r="B84" s="292"/>
      <c r="C84" s="292"/>
      <c r="D84" s="292"/>
      <c r="E84" s="292"/>
      <c r="F84" s="302"/>
      <c r="G84" s="302">
        <f>SUM(G74:G83)</f>
        <v>316162099.49558115</v>
      </c>
      <c r="H84" s="302">
        <f>SUM(H74:H83)</f>
        <v>2274616.4251068304</v>
      </c>
      <c r="I84" s="293"/>
      <c r="J84" s="292"/>
      <c r="K84" s="302">
        <f>SUM(K74:K83)</f>
        <v>316162099.49558115</v>
      </c>
      <c r="L84" s="302">
        <f>SUM(L74:L83)</f>
        <v>0</v>
      </c>
      <c r="M84" s="163"/>
      <c r="N84" s="163"/>
    </row>
    <row r="85" spans="1:14">
      <c r="A85" s="292" t="s">
        <v>29</v>
      </c>
      <c r="B85" s="292">
        <f>B12</f>
        <v>0.02</v>
      </c>
      <c r="C85" s="292"/>
      <c r="D85" s="292"/>
      <c r="E85" s="292"/>
      <c r="F85" s="292"/>
      <c r="G85" s="292"/>
      <c r="H85" s="292"/>
      <c r="I85" s="293"/>
      <c r="J85" s="292"/>
      <c r="K85" s="300"/>
      <c r="L85" s="302"/>
      <c r="M85" s="163"/>
      <c r="N85" s="163"/>
    </row>
    <row r="86" spans="1:14">
      <c r="A86" s="295" t="s">
        <v>30</v>
      </c>
      <c r="B86" s="305">
        <f>F22</f>
        <v>2274616.4251068304</v>
      </c>
      <c r="C86" s="292"/>
      <c r="D86" s="292"/>
      <c r="E86" s="292"/>
      <c r="F86" s="292"/>
      <c r="G86" s="292"/>
      <c r="H86" s="292"/>
      <c r="I86" s="293"/>
      <c r="J86" s="292"/>
      <c r="K86" s="292"/>
      <c r="L86" s="292"/>
      <c r="M86" s="163"/>
      <c r="N86" s="163"/>
    </row>
    <row r="87" spans="1:14">
      <c r="A87" s="295" t="s">
        <v>37</v>
      </c>
      <c r="B87" s="292">
        <f>G84/H84</f>
        <v>138.99578672071365</v>
      </c>
      <c r="C87" s="292"/>
      <c r="D87" s="292"/>
      <c r="E87" s="292"/>
      <c r="F87" s="292"/>
      <c r="G87" s="292"/>
      <c r="H87" s="292"/>
      <c r="I87" s="293"/>
      <c r="J87" s="292"/>
      <c r="K87" s="292"/>
      <c r="L87" s="292"/>
      <c r="M87" s="163"/>
      <c r="N87" s="163"/>
    </row>
    <row r="88" spans="1:14">
      <c r="A88" s="295" t="s">
        <v>43</v>
      </c>
      <c r="B88" s="292">
        <v>1</v>
      </c>
      <c r="C88" s="292"/>
      <c r="D88" s="292"/>
      <c r="E88" s="292"/>
      <c r="F88" s="292"/>
      <c r="G88" s="292"/>
      <c r="H88" s="292"/>
      <c r="I88" s="293"/>
      <c r="J88" s="292"/>
      <c r="K88" s="292"/>
      <c r="L88" s="292"/>
      <c r="M88" s="163"/>
      <c r="N88" s="163"/>
    </row>
    <row r="89" spans="1:14">
      <c r="A89" s="295" t="s">
        <v>44</v>
      </c>
      <c r="B89" s="302">
        <f>G84*360</f>
        <v>113818355818.40921</v>
      </c>
      <c r="C89" s="292"/>
      <c r="D89" s="292"/>
      <c r="E89" s="292"/>
      <c r="F89" s="292"/>
      <c r="G89" s="292"/>
      <c r="H89" s="292"/>
      <c r="I89" s="293"/>
      <c r="J89" s="292"/>
      <c r="K89" s="292"/>
      <c r="L89" s="292"/>
      <c r="M89" s="163"/>
      <c r="N89" s="163"/>
    </row>
    <row r="90" spans="1:14">
      <c r="A90" s="295" t="s">
        <v>40</v>
      </c>
      <c r="B90" s="292">
        <f>K84/H84</f>
        <v>138.99578672071365</v>
      </c>
      <c r="C90" s="292"/>
      <c r="D90" s="292"/>
      <c r="E90" s="292"/>
      <c r="F90" s="292"/>
      <c r="G90" s="292"/>
      <c r="H90" s="292"/>
      <c r="I90" s="293"/>
      <c r="J90" s="292"/>
      <c r="K90" s="292"/>
      <c r="L90" s="292"/>
      <c r="M90" s="163"/>
      <c r="N90" s="163"/>
    </row>
    <row r="91" spans="1:14">
      <c r="A91" s="295" t="s">
        <v>42</v>
      </c>
      <c r="B91" s="306">
        <f>K84/G84-1</f>
        <v>0</v>
      </c>
      <c r="C91" s="292"/>
      <c r="D91" s="292"/>
      <c r="E91" s="292"/>
      <c r="F91" s="292"/>
      <c r="G91" s="292"/>
      <c r="H91" s="292"/>
      <c r="I91" s="293"/>
      <c r="J91" s="292"/>
      <c r="K91" s="292"/>
      <c r="L91" s="292"/>
      <c r="M91" s="163"/>
      <c r="N91" s="163"/>
    </row>
    <row r="92" spans="1:14">
      <c r="A92" s="163"/>
      <c r="B92" s="163"/>
      <c r="C92" s="163"/>
      <c r="D92" s="163"/>
      <c r="E92" s="163"/>
      <c r="F92" s="163"/>
      <c r="G92" s="163"/>
      <c r="H92" s="163"/>
      <c r="I92" s="293"/>
      <c r="J92" s="163"/>
      <c r="K92" s="163"/>
      <c r="L92" s="163"/>
      <c r="M92" s="163"/>
      <c r="N92" s="163"/>
    </row>
    <row r="93" spans="1:14">
      <c r="A93" s="163"/>
      <c r="B93" s="163"/>
      <c r="C93" s="163"/>
      <c r="D93" s="163"/>
      <c r="E93" s="163"/>
      <c r="F93" s="163"/>
      <c r="G93" s="163"/>
      <c r="H93" s="163"/>
      <c r="I93" s="293"/>
      <c r="J93" s="163"/>
      <c r="K93" s="163"/>
      <c r="L93" s="163"/>
      <c r="M93" s="163"/>
      <c r="N93" s="163"/>
    </row>
    <row r="94" spans="1:14">
      <c r="A94" s="291" t="s">
        <v>39</v>
      </c>
      <c r="B94" s="292"/>
      <c r="C94" s="292"/>
      <c r="D94" s="292"/>
      <c r="E94" s="292"/>
      <c r="F94" s="292"/>
      <c r="G94" s="292"/>
      <c r="H94" s="292"/>
      <c r="I94" s="293"/>
      <c r="J94" s="292"/>
      <c r="K94" s="292"/>
      <c r="L94" s="292"/>
      <c r="M94" s="163"/>
      <c r="N94" s="163"/>
    </row>
    <row r="95" spans="1:14" ht="28">
      <c r="A95" s="295" t="s">
        <v>27</v>
      </c>
      <c r="B95" s="296" t="s">
        <v>28</v>
      </c>
      <c r="C95" s="296" t="s">
        <v>33</v>
      </c>
      <c r="D95" s="296" t="s">
        <v>36</v>
      </c>
      <c r="E95" s="296" t="s">
        <v>32</v>
      </c>
      <c r="F95" s="296" t="s">
        <v>35</v>
      </c>
      <c r="G95" s="296" t="s">
        <v>34</v>
      </c>
      <c r="H95" s="296" t="s">
        <v>31</v>
      </c>
      <c r="I95" s="297"/>
      <c r="J95" s="295" t="s">
        <v>40</v>
      </c>
      <c r="K95" s="295" t="s">
        <v>41</v>
      </c>
      <c r="L95" s="295" t="s">
        <v>45</v>
      </c>
      <c r="M95" s="163"/>
      <c r="N95" s="163"/>
    </row>
    <row r="96" spans="1:14">
      <c r="A96" s="292">
        <v>0.1</v>
      </c>
      <c r="B96" s="292">
        <f t="shared" ref="B96:B105" si="22">A96^$B$12</f>
        <v>0.954992586021436</v>
      </c>
      <c r="C96" s="300">
        <f t="shared" ref="C96:C105" si="23">$B$108*B96</f>
        <v>1155412.815131743</v>
      </c>
      <c r="D96" s="292">
        <f>E83</f>
        <v>201.87000000000015</v>
      </c>
      <c r="E96" s="292">
        <f t="shared" ref="E96:E105" si="24">D96+$D$52*$A$96*$B$110</f>
        <v>215.32800000000015</v>
      </c>
      <c r="F96" s="292">
        <f>AVERAGE(E96,D96)</f>
        <v>208.59900000000016</v>
      </c>
      <c r="G96" s="301">
        <f>H96*F96</f>
        <v>241017957.82366663</v>
      </c>
      <c r="H96" s="302">
        <f>C96</f>
        <v>1155412.815131743</v>
      </c>
      <c r="I96" s="293"/>
      <c r="J96" s="292">
        <f>IF(F96&lt;$J$50,$J$50,F96)</f>
        <v>208.59900000000016</v>
      </c>
      <c r="K96" s="302">
        <f>H96*J96</f>
        <v>241017957.82366663</v>
      </c>
      <c r="L96" s="300">
        <f>IF(J96&gt;F96,H96,0)</f>
        <v>0</v>
      </c>
      <c r="M96" s="163"/>
      <c r="N96" s="163"/>
    </row>
    <row r="97" spans="1:14">
      <c r="A97" s="292">
        <f>A96+0.1</f>
        <v>0.2</v>
      </c>
      <c r="B97" s="292">
        <f t="shared" si="22"/>
        <v>0.96832378572562983</v>
      </c>
      <c r="C97" s="300">
        <f t="shared" si="23"/>
        <v>1171541.7769737153</v>
      </c>
      <c r="D97" s="300">
        <f>E96</f>
        <v>215.32800000000015</v>
      </c>
      <c r="E97" s="292">
        <f t="shared" si="24"/>
        <v>228.78600000000014</v>
      </c>
      <c r="F97" s="292">
        <f t="shared" ref="F97:F105" si="25">AVERAGE(E97,E96)</f>
        <v>222.05700000000013</v>
      </c>
      <c r="G97" s="301">
        <f>H97*F97</f>
        <v>3581548.8797428478</v>
      </c>
      <c r="H97" s="302">
        <f t="shared" ref="H97:H105" si="26">C97-C96</f>
        <v>16128.961841972312</v>
      </c>
      <c r="I97" s="293"/>
      <c r="J97" s="292">
        <f t="shared" ref="J97:J105" si="27">IF(F97&lt;$J$50,$J$50,F97)</f>
        <v>222.05700000000013</v>
      </c>
      <c r="K97" s="302">
        <f t="shared" ref="K97:K105" si="28">H97*J97</f>
        <v>3581548.8797428478</v>
      </c>
      <c r="L97" s="300">
        <f t="shared" ref="L97:L105" si="29">IF(J97&gt;F97,H97,0)</f>
        <v>0</v>
      </c>
      <c r="M97" s="163"/>
      <c r="N97" s="163"/>
    </row>
    <row r="98" spans="1:14">
      <c r="A98" s="292">
        <f t="shared" ref="A98:A105" si="30">A97+0.1</f>
        <v>0.30000000000000004</v>
      </c>
      <c r="B98" s="292">
        <f t="shared" si="22"/>
        <v>0.97620814099778364</v>
      </c>
      <c r="C98" s="300">
        <f t="shared" si="23"/>
        <v>1181080.7883271433</v>
      </c>
      <c r="D98" s="300">
        <f t="shared" ref="D98:D105" si="31">E97</f>
        <v>228.78600000000014</v>
      </c>
      <c r="E98" s="292">
        <f t="shared" si="24"/>
        <v>242.24400000000014</v>
      </c>
      <c r="F98" s="292">
        <f t="shared" si="25"/>
        <v>235.51500000000016</v>
      </c>
      <c r="G98" s="301">
        <f>H98*F98</f>
        <v>2246580.2589025991</v>
      </c>
      <c r="H98" s="302">
        <f t="shared" si="26"/>
        <v>9539.0113534280099</v>
      </c>
      <c r="I98" s="293"/>
      <c r="J98" s="292">
        <f t="shared" si="27"/>
        <v>235.51500000000016</v>
      </c>
      <c r="K98" s="302">
        <f t="shared" si="28"/>
        <v>2246580.2589025991</v>
      </c>
      <c r="L98" s="300">
        <f t="shared" si="29"/>
        <v>0</v>
      </c>
      <c r="M98" s="163"/>
      <c r="N98" s="163"/>
    </row>
    <row r="99" spans="1:14">
      <c r="A99" s="292">
        <f t="shared" si="30"/>
        <v>0.4</v>
      </c>
      <c r="B99" s="292">
        <f t="shared" si="22"/>
        <v>0.98184108204267129</v>
      </c>
      <c r="C99" s="300">
        <f t="shared" si="23"/>
        <v>1187895.8907325547</v>
      </c>
      <c r="D99" s="300">
        <f t="shared" si="31"/>
        <v>242.24400000000014</v>
      </c>
      <c r="E99" s="292">
        <f t="shared" si="24"/>
        <v>255.70200000000014</v>
      </c>
      <c r="F99" s="292">
        <f t="shared" si="25"/>
        <v>248.97300000000013</v>
      </c>
      <c r="G99" s="301">
        <f>H99*F99</f>
        <v>1696776.4911824993</v>
      </c>
      <c r="H99" s="302">
        <f t="shared" si="26"/>
        <v>6815.1024054114241</v>
      </c>
      <c r="I99" s="293"/>
      <c r="J99" s="292">
        <f t="shared" si="27"/>
        <v>248.97300000000013</v>
      </c>
      <c r="K99" s="302">
        <f t="shared" si="28"/>
        <v>1696776.4911824993</v>
      </c>
      <c r="L99" s="300">
        <f t="shared" si="29"/>
        <v>0</v>
      </c>
      <c r="M99" s="163"/>
      <c r="N99" s="163"/>
    </row>
    <row r="100" spans="1:14">
      <c r="A100" s="292">
        <f t="shared" si="30"/>
        <v>0.5</v>
      </c>
      <c r="B100" s="292">
        <f t="shared" si="22"/>
        <v>0.9862327044933592</v>
      </c>
      <c r="C100" s="300">
        <f t="shared" si="23"/>
        <v>1193209.164294064</v>
      </c>
      <c r="D100" s="300">
        <f t="shared" si="31"/>
        <v>255.70200000000014</v>
      </c>
      <c r="E100" s="292">
        <f t="shared" si="24"/>
        <v>269.16000000000014</v>
      </c>
      <c r="F100" s="292">
        <f t="shared" si="25"/>
        <v>262.43100000000015</v>
      </c>
      <c r="G100" s="302">
        <f t="shared" ref="G100:G105" si="32">H100*F100</f>
        <v>1394367.6940204548</v>
      </c>
      <c r="H100" s="302">
        <f t="shared" si="26"/>
        <v>5313.2735615093261</v>
      </c>
      <c r="I100" s="293"/>
      <c r="J100" s="292">
        <f t="shared" si="27"/>
        <v>262.43100000000015</v>
      </c>
      <c r="K100" s="302">
        <f t="shared" si="28"/>
        <v>1394367.6940204548</v>
      </c>
      <c r="L100" s="300">
        <f t="shared" si="29"/>
        <v>0</v>
      </c>
      <c r="M100" s="163"/>
      <c r="N100" s="163"/>
    </row>
    <row r="101" spans="1:14">
      <c r="A101" s="292">
        <f t="shared" si="30"/>
        <v>0.6</v>
      </c>
      <c r="B101" s="292">
        <f t="shared" si="22"/>
        <v>0.98983549881290411</v>
      </c>
      <c r="C101" s="300">
        <f t="shared" si="23"/>
        <v>1197568.0617221876</v>
      </c>
      <c r="D101" s="300">
        <f t="shared" si="31"/>
        <v>269.16000000000014</v>
      </c>
      <c r="E101" s="292">
        <f t="shared" si="24"/>
        <v>282.61800000000017</v>
      </c>
      <c r="F101" s="292">
        <f t="shared" si="25"/>
        <v>275.88900000000012</v>
      </c>
      <c r="G101" s="302">
        <f t="shared" si="32"/>
        <v>1202571.8525475685</v>
      </c>
      <c r="H101" s="302">
        <f t="shared" si="26"/>
        <v>4358.8974281235132</v>
      </c>
      <c r="I101" s="293"/>
      <c r="J101" s="292">
        <f t="shared" si="27"/>
        <v>275.88900000000012</v>
      </c>
      <c r="K101" s="302">
        <f t="shared" si="28"/>
        <v>1202571.8525475685</v>
      </c>
      <c r="L101" s="300">
        <f t="shared" si="29"/>
        <v>0</v>
      </c>
      <c r="M101" s="163"/>
      <c r="N101" s="163"/>
    </row>
    <row r="102" spans="1:14">
      <c r="A102" s="292">
        <f t="shared" si="30"/>
        <v>0.7</v>
      </c>
      <c r="B102" s="292">
        <f t="shared" si="22"/>
        <v>0.99289188413193019</v>
      </c>
      <c r="C102" s="300">
        <f t="shared" si="23"/>
        <v>1201265.877618639</v>
      </c>
      <c r="D102" s="300">
        <f t="shared" si="31"/>
        <v>282.61800000000017</v>
      </c>
      <c r="E102" s="292">
        <f t="shared" si="24"/>
        <v>296.07600000000019</v>
      </c>
      <c r="F102" s="292">
        <f t="shared" si="25"/>
        <v>289.34700000000021</v>
      </c>
      <c r="G102" s="302">
        <f t="shared" si="32"/>
        <v>1069951.9361905451</v>
      </c>
      <c r="H102" s="302">
        <f t="shared" si="26"/>
        <v>3697.8158964514732</v>
      </c>
      <c r="I102" s="293"/>
      <c r="J102" s="292">
        <f t="shared" si="27"/>
        <v>289.34700000000021</v>
      </c>
      <c r="K102" s="302">
        <f t="shared" si="28"/>
        <v>1069951.9361905451</v>
      </c>
      <c r="L102" s="300">
        <f t="shared" si="29"/>
        <v>0</v>
      </c>
      <c r="M102" s="163"/>
      <c r="N102" s="163"/>
    </row>
    <row r="103" spans="1:14">
      <c r="A103" s="292">
        <f t="shared" si="30"/>
        <v>0.79999999999999993</v>
      </c>
      <c r="B103" s="292">
        <f t="shared" si="22"/>
        <v>0.9955470727844663</v>
      </c>
      <c r="C103" s="300">
        <f t="shared" si="23"/>
        <v>1204478.2994118945</v>
      </c>
      <c r="D103" s="300">
        <f t="shared" si="31"/>
        <v>296.07600000000019</v>
      </c>
      <c r="E103" s="292">
        <f t="shared" si="24"/>
        <v>309.53400000000022</v>
      </c>
      <c r="F103" s="292">
        <f t="shared" si="25"/>
        <v>302.80500000000018</v>
      </c>
      <c r="G103" s="302">
        <f t="shared" si="32"/>
        <v>972737.38110672904</v>
      </c>
      <c r="H103" s="302">
        <f t="shared" si="26"/>
        <v>3212.4217932554893</v>
      </c>
      <c r="I103" s="293"/>
      <c r="J103" s="292">
        <f t="shared" si="27"/>
        <v>302.80500000000018</v>
      </c>
      <c r="K103" s="302">
        <f t="shared" si="28"/>
        <v>972737.38110672904</v>
      </c>
      <c r="L103" s="300">
        <f t="shared" si="29"/>
        <v>0</v>
      </c>
      <c r="M103" s="163"/>
      <c r="N103" s="163"/>
    </row>
    <row r="104" spans="1:14">
      <c r="A104" s="292">
        <f t="shared" si="30"/>
        <v>0.89999999999999991</v>
      </c>
      <c r="B104" s="292">
        <f t="shared" si="22"/>
        <v>0.9978950082958632</v>
      </c>
      <c r="C104" s="300">
        <f t="shared" si="23"/>
        <v>1207318.9861551002</v>
      </c>
      <c r="D104" s="300">
        <f t="shared" si="31"/>
        <v>309.53400000000022</v>
      </c>
      <c r="E104" s="292">
        <f t="shared" si="24"/>
        <v>322.99200000000025</v>
      </c>
      <c r="F104" s="292">
        <f t="shared" si="25"/>
        <v>316.26300000000026</v>
      </c>
      <c r="G104" s="302">
        <f t="shared" si="32"/>
        <v>898404.11146644794</v>
      </c>
      <c r="H104" s="302">
        <f t="shared" si="26"/>
        <v>2840.6867432056461</v>
      </c>
      <c r="I104" s="293"/>
      <c r="J104" s="292">
        <f t="shared" si="27"/>
        <v>316.26300000000026</v>
      </c>
      <c r="K104" s="302">
        <f t="shared" si="28"/>
        <v>898404.11146644794</v>
      </c>
      <c r="L104" s="300">
        <f t="shared" si="29"/>
        <v>0</v>
      </c>
      <c r="M104" s="163"/>
      <c r="N104" s="163"/>
    </row>
    <row r="105" spans="1:14">
      <c r="A105" s="292">
        <f t="shared" si="30"/>
        <v>0.99999999999999989</v>
      </c>
      <c r="B105" s="292">
        <f t="shared" si="22"/>
        <v>1</v>
      </c>
      <c r="C105" s="300">
        <f t="shared" si="23"/>
        <v>1209865.7435083045</v>
      </c>
      <c r="D105" s="300">
        <f t="shared" si="31"/>
        <v>322.99200000000025</v>
      </c>
      <c r="E105" s="292">
        <f t="shared" si="24"/>
        <v>336.45000000000027</v>
      </c>
      <c r="F105" s="292">
        <f t="shared" si="25"/>
        <v>329.72100000000023</v>
      </c>
      <c r="G105" s="302">
        <f t="shared" si="32"/>
        <v>839719.38125587639</v>
      </c>
      <c r="H105" s="302">
        <f t="shared" si="26"/>
        <v>2546.7573532043025</v>
      </c>
      <c r="I105" s="293"/>
      <c r="J105" s="292">
        <f t="shared" si="27"/>
        <v>329.72100000000023</v>
      </c>
      <c r="K105" s="302">
        <f t="shared" si="28"/>
        <v>839719.38125587639</v>
      </c>
      <c r="L105" s="300">
        <f t="shared" si="29"/>
        <v>0</v>
      </c>
      <c r="M105" s="163"/>
      <c r="N105" s="163"/>
    </row>
    <row r="106" spans="1:14">
      <c r="A106" s="292"/>
      <c r="B106" s="292"/>
      <c r="C106" s="292"/>
      <c r="D106" s="292"/>
      <c r="E106" s="292"/>
      <c r="F106" s="302"/>
      <c r="G106" s="302">
        <f>SUM(G96:G105)</f>
        <v>254920615.8100822</v>
      </c>
      <c r="H106" s="302">
        <f>SUM(H96:H105)</f>
        <v>1209865.7435083045</v>
      </c>
      <c r="I106" s="293"/>
      <c r="J106" s="292"/>
      <c r="K106" s="302">
        <f>SUM(K96:K105)</f>
        <v>254920615.8100822</v>
      </c>
      <c r="L106" s="302">
        <f>SUM(L96:L105)</f>
        <v>0</v>
      </c>
      <c r="M106" s="163"/>
      <c r="N106" s="163"/>
    </row>
    <row r="107" spans="1:14">
      <c r="A107" s="292" t="s">
        <v>29</v>
      </c>
      <c r="B107" s="292">
        <f>B85</f>
        <v>0.02</v>
      </c>
      <c r="C107" s="292"/>
      <c r="D107" s="292"/>
      <c r="E107" s="292"/>
      <c r="F107" s="292"/>
      <c r="G107" s="292"/>
      <c r="H107" s="292"/>
      <c r="I107" s="293"/>
      <c r="J107" s="292"/>
      <c r="K107" s="300"/>
      <c r="L107" s="302"/>
      <c r="M107" s="163"/>
      <c r="N107" s="163"/>
    </row>
    <row r="108" spans="1:14">
      <c r="A108" s="295" t="s">
        <v>30</v>
      </c>
      <c r="B108" s="305">
        <f>G22</f>
        <v>1209865.7435083045</v>
      </c>
      <c r="C108" s="292"/>
      <c r="D108" s="292"/>
      <c r="E108" s="292"/>
      <c r="F108" s="292"/>
      <c r="G108" s="292"/>
      <c r="H108" s="292"/>
      <c r="I108" s="293"/>
      <c r="J108" s="292"/>
      <c r="K108" s="292"/>
      <c r="L108" s="292"/>
      <c r="M108" s="163"/>
      <c r="N108" s="163"/>
    </row>
    <row r="109" spans="1:14">
      <c r="A109" s="295" t="s">
        <v>37</v>
      </c>
      <c r="B109" s="292">
        <f>G106/H106</f>
        <v>210.70157344142743</v>
      </c>
      <c r="C109" s="292"/>
      <c r="D109" s="292"/>
      <c r="E109" s="292"/>
      <c r="F109" s="292"/>
      <c r="G109" s="292"/>
      <c r="H109" s="292"/>
      <c r="I109" s="293"/>
      <c r="J109" s="292"/>
      <c r="K109" s="292"/>
      <c r="L109" s="292"/>
      <c r="M109" s="163"/>
      <c r="N109" s="163"/>
    </row>
    <row r="110" spans="1:14">
      <c r="A110" s="295" t="s">
        <v>43</v>
      </c>
      <c r="B110" s="292">
        <v>2</v>
      </c>
      <c r="C110" s="292"/>
      <c r="D110" s="292"/>
      <c r="E110" s="292"/>
      <c r="F110" s="292"/>
      <c r="G110" s="292"/>
      <c r="H110" s="292"/>
      <c r="I110" s="293"/>
      <c r="J110" s="292"/>
      <c r="K110" s="292"/>
      <c r="L110" s="292"/>
      <c r="M110" s="163"/>
      <c r="N110" s="163"/>
    </row>
    <row r="111" spans="1:14">
      <c r="A111" s="295" t="s">
        <v>44</v>
      </c>
      <c r="B111" s="302">
        <f>G106*360</f>
        <v>91771421691.629593</v>
      </c>
      <c r="C111" s="292"/>
      <c r="D111" s="292"/>
      <c r="E111" s="292"/>
      <c r="F111" s="292"/>
      <c r="G111" s="292"/>
      <c r="H111" s="292"/>
      <c r="I111" s="293"/>
      <c r="J111" s="292"/>
      <c r="K111" s="292"/>
      <c r="L111" s="292"/>
      <c r="M111" s="163"/>
      <c r="N111" s="163"/>
    </row>
    <row r="112" spans="1:14">
      <c r="A112" s="295" t="s">
        <v>40</v>
      </c>
      <c r="B112" s="292">
        <f>K106/H106</f>
        <v>210.70157344142743</v>
      </c>
      <c r="C112" s="292"/>
      <c r="D112" s="292"/>
      <c r="E112" s="292"/>
      <c r="F112" s="292"/>
      <c r="G112" s="292"/>
      <c r="H112" s="292"/>
      <c r="I112" s="293"/>
      <c r="J112" s="292"/>
      <c r="K112" s="292"/>
      <c r="L112" s="292"/>
      <c r="M112" s="163"/>
      <c r="N112" s="163"/>
    </row>
    <row r="113" spans="1:14">
      <c r="A113" s="295" t="s">
        <v>42</v>
      </c>
      <c r="B113" s="306">
        <f>K106/G106-1</f>
        <v>0</v>
      </c>
      <c r="C113" s="292"/>
      <c r="D113" s="292"/>
      <c r="E113" s="292"/>
      <c r="F113" s="292"/>
      <c r="G113" s="292"/>
      <c r="H113" s="292"/>
      <c r="I113" s="293"/>
      <c r="J113" s="292"/>
      <c r="K113" s="292"/>
      <c r="L113" s="292"/>
      <c r="M113" s="163"/>
      <c r="N113" s="163"/>
    </row>
    <row r="114" spans="1:14">
      <c r="A114" s="163"/>
      <c r="B114" s="163"/>
      <c r="C114" s="163"/>
      <c r="D114" s="163"/>
      <c r="E114" s="163"/>
      <c r="F114" s="163"/>
      <c r="G114" s="163"/>
      <c r="H114" s="163"/>
      <c r="I114" s="293"/>
      <c r="J114" s="163"/>
      <c r="K114" s="163"/>
      <c r="L114" s="163"/>
      <c r="M114" s="163"/>
      <c r="N114" s="163"/>
    </row>
    <row r="115" spans="1:14">
      <c r="A115" s="163"/>
      <c r="B115" s="163"/>
      <c r="C115" s="163"/>
      <c r="D115" s="163"/>
      <c r="E115" s="163"/>
      <c r="F115" s="163"/>
      <c r="G115" s="163"/>
      <c r="H115" s="163"/>
      <c r="I115" s="293"/>
      <c r="J115" s="163"/>
      <c r="K115" s="163"/>
      <c r="L115" s="163"/>
      <c r="M115" s="163"/>
      <c r="N115" s="163"/>
    </row>
    <row r="116" spans="1:14">
      <c r="A116" s="163"/>
      <c r="B116" s="163"/>
      <c r="C116" s="163"/>
      <c r="D116" s="163"/>
      <c r="E116" s="163"/>
      <c r="F116" s="163"/>
      <c r="G116" s="163"/>
      <c r="H116" s="163"/>
      <c r="I116" s="293"/>
      <c r="J116" s="163"/>
      <c r="K116" s="163"/>
      <c r="L116" s="163"/>
      <c r="M116" s="163"/>
      <c r="N116" s="163"/>
    </row>
    <row r="117" spans="1:14">
      <c r="A117" s="291" t="s">
        <v>46</v>
      </c>
      <c r="B117" s="292"/>
      <c r="C117" s="292"/>
      <c r="D117" s="292"/>
      <c r="E117" s="292"/>
      <c r="F117" s="292"/>
      <c r="G117" s="292"/>
      <c r="H117" s="292"/>
      <c r="I117" s="293"/>
      <c r="J117" s="292"/>
      <c r="K117" s="292"/>
      <c r="L117" s="292"/>
      <c r="M117" s="163"/>
      <c r="N117" s="163"/>
    </row>
    <row r="118" spans="1:14" ht="28">
      <c r="A118" s="295" t="s">
        <v>27</v>
      </c>
      <c r="B118" s="296" t="s">
        <v>28</v>
      </c>
      <c r="C118" s="296" t="s">
        <v>33</v>
      </c>
      <c r="D118" s="296" t="s">
        <v>36</v>
      </c>
      <c r="E118" s="296" t="s">
        <v>32</v>
      </c>
      <c r="F118" s="296" t="s">
        <v>35</v>
      </c>
      <c r="G118" s="296" t="s">
        <v>34</v>
      </c>
      <c r="H118" s="296" t="s">
        <v>31</v>
      </c>
      <c r="I118" s="297"/>
      <c r="J118" s="295" t="s">
        <v>40</v>
      </c>
      <c r="K118" s="295" t="s">
        <v>41</v>
      </c>
      <c r="L118" s="295" t="s">
        <v>45</v>
      </c>
      <c r="M118" s="163"/>
      <c r="N118" s="163"/>
    </row>
    <row r="119" spans="1:14">
      <c r="A119" s="292">
        <v>0.1</v>
      </c>
      <c r="B119" s="292">
        <f>A119^$B$130</f>
        <v>0.954992586021436</v>
      </c>
      <c r="C119" s="300">
        <f t="shared" ref="C119:C128" si="33">$B$131*B119</f>
        <v>456035.94329597976</v>
      </c>
      <c r="D119" s="292">
        <f>E105</f>
        <v>336.45000000000027</v>
      </c>
      <c r="E119" s="292">
        <f t="shared" ref="E119:E128" si="34">D119+$D$52*$A$119*$B$133</f>
        <v>471.03000000000031</v>
      </c>
      <c r="F119" s="292">
        <f>AVERAGE(E119,D119)</f>
        <v>403.74000000000029</v>
      </c>
      <c r="G119" s="302">
        <f t="shared" ref="G119:G128" si="35">H119*F119</f>
        <v>184119951.746319</v>
      </c>
      <c r="H119" s="302">
        <f>C119</f>
        <v>456035.94329597976</v>
      </c>
      <c r="I119" s="293"/>
      <c r="J119" s="292">
        <f>IF(F119&lt;$J$50,$J$50,F119)</f>
        <v>403.74000000000029</v>
      </c>
      <c r="K119" s="302">
        <f>H119*J119</f>
        <v>184119951.746319</v>
      </c>
      <c r="L119" s="300">
        <f>IF(J119&gt;F119,H119,0)</f>
        <v>0</v>
      </c>
      <c r="M119" s="163"/>
      <c r="N119" s="163"/>
    </row>
    <row r="120" spans="1:14">
      <c r="A120" s="292">
        <f>A119+0.1</f>
        <v>0.2</v>
      </c>
      <c r="B120" s="292">
        <f>A120^$B$130</f>
        <v>0.96832378572562983</v>
      </c>
      <c r="C120" s="300">
        <f t="shared" si="33"/>
        <v>462401.96782994678</v>
      </c>
      <c r="D120" s="300">
        <f>E119</f>
        <v>471.03000000000031</v>
      </c>
      <c r="E120" s="292">
        <f t="shared" si="34"/>
        <v>605.61000000000035</v>
      </c>
      <c r="F120" s="292">
        <f t="shared" ref="F120:F128" si="36">AVERAGE(E120,E119)</f>
        <v>538.32000000000039</v>
      </c>
      <c r="G120" s="302">
        <f t="shared" si="35"/>
        <v>3426958.3271251298</v>
      </c>
      <c r="H120" s="302">
        <f t="shared" ref="H120:H128" si="37">C120-C119</f>
        <v>6366.0245339670219</v>
      </c>
      <c r="I120" s="293"/>
      <c r="J120" s="292">
        <f t="shared" ref="J120:J128" si="38">IF(F120&lt;$J$50,$J$50,F120)</f>
        <v>538.32000000000039</v>
      </c>
      <c r="K120" s="302">
        <f t="shared" ref="K120:K128" si="39">H120*J120</f>
        <v>3426958.3271251298</v>
      </c>
      <c r="L120" s="300">
        <f t="shared" ref="L120:L128" si="40">IF(J120&gt;F120,H120,0)</f>
        <v>0</v>
      </c>
      <c r="M120" s="163"/>
      <c r="N120" s="163"/>
    </row>
    <row r="121" spans="1:14">
      <c r="A121" s="292">
        <f t="shared" ref="A121:A128" si="41">A120+0.1</f>
        <v>0.30000000000000004</v>
      </c>
      <c r="B121" s="292">
        <f t="shared" ref="B121:B128" si="42">A121^$B$130</f>
        <v>0.97620814099778364</v>
      </c>
      <c r="C121" s="300">
        <f t="shared" si="33"/>
        <v>466166.97024613997</v>
      </c>
      <c r="D121" s="300">
        <f t="shared" ref="D121:D128" si="43">E120</f>
        <v>605.61000000000035</v>
      </c>
      <c r="E121" s="292">
        <f t="shared" si="34"/>
        <v>740.1900000000004</v>
      </c>
      <c r="F121" s="292">
        <f t="shared" si="36"/>
        <v>672.90000000000032</v>
      </c>
      <c r="G121" s="302">
        <f t="shared" si="35"/>
        <v>2533470.1258564014</v>
      </c>
      <c r="H121" s="302">
        <f t="shared" si="37"/>
        <v>3765.0024161931942</v>
      </c>
      <c r="I121" s="293"/>
      <c r="J121" s="292">
        <f t="shared" si="38"/>
        <v>672.90000000000032</v>
      </c>
      <c r="K121" s="302">
        <f t="shared" si="39"/>
        <v>2533470.1258564014</v>
      </c>
      <c r="L121" s="300">
        <f t="shared" si="40"/>
        <v>0</v>
      </c>
      <c r="M121" s="163"/>
      <c r="N121" s="163"/>
    </row>
    <row r="122" spans="1:14">
      <c r="A122" s="292">
        <f t="shared" si="41"/>
        <v>0.4</v>
      </c>
      <c r="B122" s="292">
        <f t="shared" si="42"/>
        <v>0.98184108204267129</v>
      </c>
      <c r="C122" s="300">
        <f t="shared" si="33"/>
        <v>468856.85875473864</v>
      </c>
      <c r="D122" s="300">
        <f t="shared" si="43"/>
        <v>740.1900000000004</v>
      </c>
      <c r="E122" s="292">
        <f t="shared" si="34"/>
        <v>874.77000000000044</v>
      </c>
      <c r="F122" s="292">
        <f t="shared" si="36"/>
        <v>807.48000000000047</v>
      </c>
      <c r="G122" s="302">
        <f t="shared" si="35"/>
        <v>2172031.1729232548</v>
      </c>
      <c r="H122" s="302">
        <f t="shared" si="37"/>
        <v>2689.8885085986694</v>
      </c>
      <c r="I122" s="293"/>
      <c r="J122" s="292">
        <f t="shared" si="38"/>
        <v>807.48000000000047</v>
      </c>
      <c r="K122" s="302">
        <f t="shared" si="39"/>
        <v>2172031.1729232548</v>
      </c>
      <c r="L122" s="300">
        <f t="shared" si="40"/>
        <v>0</v>
      </c>
      <c r="M122" s="163"/>
      <c r="N122" s="163"/>
    </row>
    <row r="123" spans="1:14">
      <c r="A123" s="292">
        <f t="shared" si="41"/>
        <v>0.5</v>
      </c>
      <c r="B123" s="292">
        <f t="shared" si="42"/>
        <v>0.9862327044933592</v>
      </c>
      <c r="C123" s="300">
        <f t="shared" si="33"/>
        <v>470953.98256094829</v>
      </c>
      <c r="D123" s="300">
        <f t="shared" si="43"/>
        <v>874.77000000000044</v>
      </c>
      <c r="E123" s="292">
        <f t="shared" si="34"/>
        <v>1009.3500000000005</v>
      </c>
      <c r="F123" s="292">
        <f t="shared" si="36"/>
        <v>942.0600000000004</v>
      </c>
      <c r="G123" s="302">
        <f t="shared" si="35"/>
        <v>1975616.4528778663</v>
      </c>
      <c r="H123" s="302">
        <f t="shared" si="37"/>
        <v>2097.1238062096527</v>
      </c>
      <c r="I123" s="293"/>
      <c r="J123" s="292">
        <f t="shared" si="38"/>
        <v>942.0600000000004</v>
      </c>
      <c r="K123" s="302">
        <f t="shared" si="39"/>
        <v>1975616.4528778663</v>
      </c>
      <c r="L123" s="300">
        <f t="shared" si="40"/>
        <v>0</v>
      </c>
      <c r="M123" s="163"/>
      <c r="N123" s="163"/>
    </row>
    <row r="124" spans="1:14">
      <c r="A124" s="292">
        <f t="shared" si="41"/>
        <v>0.6</v>
      </c>
      <c r="B124" s="292">
        <f>A124^$B$130</f>
        <v>0.98983549881290411</v>
      </c>
      <c r="C124" s="300">
        <f t="shared" si="33"/>
        <v>472674.41864607012</v>
      </c>
      <c r="D124" s="300">
        <f t="shared" si="43"/>
        <v>1009.3500000000005</v>
      </c>
      <c r="E124" s="292">
        <f t="shared" si="34"/>
        <v>1143.9300000000005</v>
      </c>
      <c r="F124" s="292">
        <f t="shared" si="36"/>
        <v>1076.6400000000006</v>
      </c>
      <c r="G124" s="302">
        <f t="shared" si="35"/>
        <v>1852290.3066855599</v>
      </c>
      <c r="H124" s="302">
        <f t="shared" si="37"/>
        <v>1720.4360851218225</v>
      </c>
      <c r="I124" s="293"/>
      <c r="J124" s="292">
        <f t="shared" si="38"/>
        <v>1076.6400000000006</v>
      </c>
      <c r="K124" s="302">
        <f t="shared" si="39"/>
        <v>1852290.3066855599</v>
      </c>
      <c r="L124" s="300">
        <f t="shared" si="40"/>
        <v>0</v>
      </c>
      <c r="M124" s="163"/>
      <c r="N124" s="163"/>
    </row>
    <row r="125" spans="1:14">
      <c r="A125" s="292">
        <f t="shared" si="41"/>
        <v>0.7</v>
      </c>
      <c r="B125" s="292">
        <f>A125^$B$130</f>
        <v>0.99289188413193019</v>
      </c>
      <c r="C125" s="300">
        <f t="shared" si="33"/>
        <v>474133.92899456905</v>
      </c>
      <c r="D125" s="300">
        <f t="shared" si="43"/>
        <v>1143.9300000000005</v>
      </c>
      <c r="E125" s="292">
        <f t="shared" si="34"/>
        <v>1278.5100000000004</v>
      </c>
      <c r="F125" s="292">
        <f t="shared" si="36"/>
        <v>1211.2200000000005</v>
      </c>
      <c r="G125" s="302">
        <f t="shared" si="35"/>
        <v>1767788.1243088839</v>
      </c>
      <c r="H125" s="302">
        <f t="shared" si="37"/>
        <v>1459.5103484989377</v>
      </c>
      <c r="I125" s="293"/>
      <c r="J125" s="292">
        <f t="shared" si="38"/>
        <v>1211.2200000000005</v>
      </c>
      <c r="K125" s="302">
        <f t="shared" si="39"/>
        <v>1767788.1243088839</v>
      </c>
      <c r="L125" s="300">
        <f t="shared" si="40"/>
        <v>0</v>
      </c>
      <c r="M125" s="163"/>
      <c r="N125" s="163"/>
    </row>
    <row r="126" spans="1:14">
      <c r="A126" s="292">
        <f t="shared" si="41"/>
        <v>0.79999999999999993</v>
      </c>
      <c r="B126" s="292">
        <f t="shared" si="42"/>
        <v>0.9955470727844663</v>
      </c>
      <c r="C126" s="300">
        <f t="shared" si="33"/>
        <v>475401.85659894196</v>
      </c>
      <c r="D126" s="300">
        <f t="shared" si="43"/>
        <v>1278.5100000000004</v>
      </c>
      <c r="E126" s="292">
        <f t="shared" si="34"/>
        <v>1413.0900000000004</v>
      </c>
      <c r="F126" s="292">
        <f t="shared" si="36"/>
        <v>1345.8000000000004</v>
      </c>
      <c r="G126" s="302">
        <f t="shared" si="35"/>
        <v>1706376.9699650549</v>
      </c>
      <c r="H126" s="302">
        <f t="shared" si="37"/>
        <v>1267.9276043729042</v>
      </c>
      <c r="I126" s="293"/>
      <c r="J126" s="292">
        <f t="shared" si="38"/>
        <v>1345.8000000000004</v>
      </c>
      <c r="K126" s="302">
        <f t="shared" si="39"/>
        <v>1706376.9699650549</v>
      </c>
      <c r="L126" s="300">
        <f t="shared" si="40"/>
        <v>0</v>
      </c>
      <c r="M126" s="163"/>
      <c r="N126" s="163"/>
    </row>
    <row r="127" spans="1:14">
      <c r="A127" s="292">
        <f t="shared" si="41"/>
        <v>0.89999999999999991</v>
      </c>
      <c r="B127" s="292">
        <f t="shared" si="42"/>
        <v>0.9978950082958632</v>
      </c>
      <c r="C127" s="300">
        <f t="shared" si="33"/>
        <v>476523.06214693352</v>
      </c>
      <c r="D127" s="300">
        <f t="shared" si="43"/>
        <v>1413.0900000000004</v>
      </c>
      <c r="E127" s="292">
        <f t="shared" si="34"/>
        <v>1547.6700000000003</v>
      </c>
      <c r="F127" s="292">
        <f t="shared" si="36"/>
        <v>1480.3800000000003</v>
      </c>
      <c r="G127" s="302">
        <f t="shared" si="35"/>
        <v>1659810.2691357429</v>
      </c>
      <c r="H127" s="302">
        <f t="shared" si="37"/>
        <v>1121.205547991558</v>
      </c>
      <c r="I127" s="293"/>
      <c r="J127" s="292">
        <f t="shared" si="38"/>
        <v>1480.3800000000003</v>
      </c>
      <c r="K127" s="302">
        <f t="shared" si="39"/>
        <v>1659810.2691357429</v>
      </c>
      <c r="L127" s="300">
        <f t="shared" si="40"/>
        <v>0</v>
      </c>
      <c r="M127" s="163"/>
      <c r="N127" s="163"/>
    </row>
    <row r="128" spans="1:14">
      <c r="A128" s="292">
        <f t="shared" si="41"/>
        <v>0.99999999999999989</v>
      </c>
      <c r="B128" s="292">
        <f t="shared" si="42"/>
        <v>1</v>
      </c>
      <c r="C128" s="300">
        <f t="shared" si="33"/>
        <v>477528.25516254158</v>
      </c>
      <c r="D128" s="300">
        <f t="shared" si="43"/>
        <v>1547.6700000000003</v>
      </c>
      <c r="E128" s="292">
        <f t="shared" si="34"/>
        <v>1682.2500000000002</v>
      </c>
      <c r="F128" s="292">
        <f t="shared" si="36"/>
        <v>1614.9600000000003</v>
      </c>
      <c r="G128" s="302">
        <f t="shared" si="35"/>
        <v>1623346.5124863985</v>
      </c>
      <c r="H128" s="302">
        <f t="shared" si="37"/>
        <v>1005.1930156080634</v>
      </c>
      <c r="I128" s="293"/>
      <c r="J128" s="292">
        <f t="shared" si="38"/>
        <v>1614.9600000000003</v>
      </c>
      <c r="K128" s="302">
        <f t="shared" si="39"/>
        <v>1623346.5124863985</v>
      </c>
      <c r="L128" s="300">
        <f t="shared" si="40"/>
        <v>0</v>
      </c>
      <c r="M128" s="163"/>
      <c r="N128" s="163"/>
    </row>
    <row r="129" spans="1:14">
      <c r="A129" s="292"/>
      <c r="B129" s="292"/>
      <c r="C129" s="292"/>
      <c r="D129" s="292"/>
      <c r="E129" s="292"/>
      <c r="F129" s="302"/>
      <c r="G129" s="302">
        <f>SUM(G119:G128)</f>
        <v>202837640.00768331</v>
      </c>
      <c r="H129" s="302">
        <f>SUM(H119:H128)</f>
        <v>477528.25516254158</v>
      </c>
      <c r="I129" s="293"/>
      <c r="J129" s="292"/>
      <c r="K129" s="302">
        <f>SUM(K119:K128)</f>
        <v>202837640.00768331</v>
      </c>
      <c r="L129" s="302">
        <f>SUM(L119:L128)</f>
        <v>0</v>
      </c>
      <c r="M129" s="163"/>
      <c r="N129" s="163"/>
    </row>
    <row r="130" spans="1:14">
      <c r="A130" s="292" t="s">
        <v>29</v>
      </c>
      <c r="B130" s="307">
        <f>B12</f>
        <v>0.02</v>
      </c>
      <c r="C130" s="292"/>
      <c r="D130" s="292"/>
      <c r="E130" s="292"/>
      <c r="F130" s="292"/>
      <c r="G130" s="292"/>
      <c r="H130" s="292"/>
      <c r="I130" s="293"/>
      <c r="J130" s="292"/>
      <c r="K130" s="300"/>
      <c r="L130" s="302"/>
      <c r="M130" s="163"/>
      <c r="N130" s="163"/>
    </row>
    <row r="131" spans="1:14">
      <c r="A131" s="295" t="s">
        <v>30</v>
      </c>
      <c r="B131" s="305">
        <f>H22</f>
        <v>477528.25516254158</v>
      </c>
      <c r="C131" s="292"/>
      <c r="D131" s="292"/>
      <c r="E131" s="292"/>
      <c r="F131" s="292"/>
      <c r="G131" s="292"/>
      <c r="H131" s="292"/>
      <c r="I131" s="293"/>
      <c r="J131" s="292"/>
      <c r="K131" s="292"/>
      <c r="L131" s="292"/>
      <c r="M131" s="163"/>
      <c r="N131" s="163"/>
    </row>
    <row r="132" spans="1:14">
      <c r="A132" s="295" t="s">
        <v>37</v>
      </c>
      <c r="B132" s="292">
        <f>G129/H129</f>
        <v>424.76573441427297</v>
      </c>
      <c r="C132" s="292"/>
      <c r="D132" s="292"/>
      <c r="E132" s="292"/>
      <c r="F132" s="292"/>
      <c r="G132" s="292"/>
      <c r="H132" s="292"/>
      <c r="I132" s="293"/>
      <c r="J132" s="292"/>
      <c r="K132" s="292"/>
      <c r="L132" s="292"/>
      <c r="M132" s="163"/>
      <c r="N132" s="163"/>
    </row>
    <row r="133" spans="1:14">
      <c r="A133" s="295" t="s">
        <v>43</v>
      </c>
      <c r="B133" s="292">
        <f>H10-G10</f>
        <v>20</v>
      </c>
      <c r="C133" s="292"/>
      <c r="D133" s="292"/>
      <c r="E133" s="292"/>
      <c r="F133" s="292"/>
      <c r="G133" s="292"/>
      <c r="H133" s="292"/>
      <c r="I133" s="293"/>
      <c r="J133" s="292"/>
      <c r="K133" s="292"/>
      <c r="L133" s="292"/>
      <c r="M133" s="163"/>
      <c r="N133" s="163"/>
    </row>
    <row r="134" spans="1:14">
      <c r="A134" s="295" t="s">
        <v>44</v>
      </c>
      <c r="B134" s="302">
        <f>G129*360</f>
        <v>73021550402.765991</v>
      </c>
      <c r="C134" s="292"/>
      <c r="D134" s="292"/>
      <c r="E134" s="292"/>
      <c r="F134" s="292"/>
      <c r="G134" s="292"/>
      <c r="H134" s="292"/>
      <c r="I134" s="293"/>
      <c r="J134" s="292"/>
      <c r="K134" s="292"/>
      <c r="L134" s="292"/>
      <c r="M134" s="163"/>
      <c r="N134" s="163"/>
    </row>
    <row r="135" spans="1:14">
      <c r="A135" s="295" t="s">
        <v>40</v>
      </c>
      <c r="B135" s="292">
        <f>K129/H129</f>
        <v>424.76573441427297</v>
      </c>
      <c r="C135" s="292"/>
      <c r="D135" s="292"/>
      <c r="E135" s="292"/>
      <c r="F135" s="292"/>
      <c r="G135" s="292"/>
      <c r="H135" s="292"/>
      <c r="I135" s="293"/>
      <c r="J135" s="292"/>
      <c r="K135" s="292"/>
      <c r="L135" s="292"/>
      <c r="M135" s="163"/>
      <c r="N135" s="163"/>
    </row>
    <row r="136" spans="1:14">
      <c r="A136" s="295" t="s">
        <v>42</v>
      </c>
      <c r="B136" s="306">
        <f>K129/G129-1</f>
        <v>0</v>
      </c>
      <c r="C136" s="292"/>
      <c r="D136" s="292"/>
      <c r="E136" s="292"/>
      <c r="F136" s="292"/>
      <c r="G136" s="292"/>
      <c r="H136" s="292"/>
      <c r="I136" s="293"/>
      <c r="J136" s="292"/>
      <c r="K136" s="292"/>
      <c r="L136" s="292"/>
      <c r="M136" s="163"/>
      <c r="N136" s="163"/>
    </row>
  </sheetData>
  <sheetProtection password="CD86" sheet="1" objects="1" scenarios="1"/>
  <dataConsolidate/>
  <mergeCells count="13">
    <mergeCell ref="D7:H7"/>
    <mergeCell ref="A48:H48"/>
    <mergeCell ref="J7:J8"/>
    <mergeCell ref="I7:I8"/>
    <mergeCell ref="C20:C21"/>
    <mergeCell ref="D20:H20"/>
    <mergeCell ref="I20:I21"/>
    <mergeCell ref="C7:C9"/>
    <mergeCell ref="A20:A21"/>
    <mergeCell ref="B20:B21"/>
    <mergeCell ref="A30:C30"/>
    <mergeCell ref="A7:A9"/>
    <mergeCell ref="B7:B9"/>
  </mergeCells>
  <hyperlinks>
    <hyperlink ref="D22" tooltip="C.V.: _x000a_  2.29 %"/>
    <hyperlink ref="B22" tooltip="C.V.: _x000a_  1.95 %"/>
    <hyperlink ref="E22:H22" tooltip="C.V.: _x000a_  2.29 %"/>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U298"/>
  <sheetViews>
    <sheetView showGridLines="0" zoomScale="90" zoomScaleNormal="90" zoomScalePageLayoutView="90" workbookViewId="0"/>
  </sheetViews>
  <sheetFormatPr baseColWidth="10" defaultRowHeight="14" x14ac:dyDescent="0"/>
  <cols>
    <col min="1" max="1" width="56" bestFit="1" customWidth="1"/>
    <col min="2" max="2" width="33.83203125" customWidth="1"/>
    <col min="3" max="3" width="26.6640625" bestFit="1" customWidth="1"/>
    <col min="4" max="4" width="22.33203125" bestFit="1" customWidth="1"/>
    <col min="5" max="5" width="27.83203125" bestFit="1" customWidth="1"/>
    <col min="6" max="6" width="21" bestFit="1" customWidth="1"/>
    <col min="7" max="7" width="30.6640625" bestFit="1" customWidth="1"/>
    <col min="8" max="8" width="23.1640625" bestFit="1" customWidth="1"/>
    <col min="9" max="9" width="13.83203125" style="37" bestFit="1" customWidth="1"/>
    <col min="10" max="10" width="13.83203125" bestFit="1" customWidth="1"/>
    <col min="11" max="11" width="17.5" bestFit="1" customWidth="1"/>
    <col min="12" max="17" width="13.83203125" bestFit="1" customWidth="1"/>
    <col min="18" max="41" width="12.33203125" bestFit="1" customWidth="1"/>
    <col min="42" max="43" width="11.5" bestFit="1" customWidth="1"/>
  </cols>
  <sheetData>
    <row r="1" spans="1:21">
      <c r="A1" s="160" t="s">
        <v>21</v>
      </c>
      <c r="B1" s="161"/>
      <c r="C1" s="161"/>
      <c r="D1" s="161"/>
      <c r="E1" s="161"/>
      <c r="F1" s="161"/>
      <c r="G1" s="161"/>
      <c r="H1" s="161"/>
      <c r="I1" s="160"/>
      <c r="J1" s="162"/>
      <c r="K1" s="163"/>
      <c r="L1" s="163"/>
      <c r="M1" s="163"/>
      <c r="N1" s="163"/>
      <c r="O1" s="45"/>
      <c r="P1" s="45"/>
      <c r="Q1" s="45"/>
      <c r="R1" s="45"/>
      <c r="S1" s="45"/>
      <c r="T1" s="45"/>
      <c r="U1" s="45"/>
    </row>
    <row r="2" spans="1:21">
      <c r="A2" s="164" t="s">
        <v>65</v>
      </c>
      <c r="B2" s="161"/>
      <c r="C2" s="161"/>
      <c r="D2" s="161"/>
      <c r="E2" s="161"/>
      <c r="F2" s="161"/>
      <c r="G2" s="161"/>
      <c r="H2" s="161"/>
      <c r="I2" s="160"/>
      <c r="J2" s="160"/>
      <c r="K2" s="163"/>
      <c r="L2" s="163"/>
      <c r="M2" s="163"/>
      <c r="N2" s="163"/>
      <c r="O2" s="45"/>
      <c r="P2" s="45"/>
      <c r="Q2" s="45"/>
      <c r="R2" s="45"/>
      <c r="S2" s="45"/>
      <c r="T2" s="45"/>
      <c r="U2" s="45"/>
    </row>
    <row r="3" spans="1:21">
      <c r="A3" s="165"/>
      <c r="B3" s="165"/>
      <c r="C3" s="165"/>
      <c r="D3" s="165"/>
      <c r="E3" s="165"/>
      <c r="F3" s="165"/>
      <c r="G3" s="165"/>
      <c r="H3" s="166"/>
      <c r="I3" s="165"/>
      <c r="J3" s="167"/>
      <c r="K3" s="163"/>
      <c r="L3" s="163"/>
      <c r="M3" s="163"/>
      <c r="N3" s="163"/>
      <c r="O3" s="45"/>
      <c r="P3" s="45"/>
      <c r="Q3" s="45"/>
      <c r="R3" s="45"/>
      <c r="S3" s="45"/>
      <c r="T3" s="45"/>
      <c r="U3" s="45"/>
    </row>
    <row r="4" spans="1:21">
      <c r="A4" s="169"/>
      <c r="B4" s="309"/>
      <c r="C4" s="309"/>
      <c r="D4" s="309"/>
      <c r="E4" s="309"/>
      <c r="F4" s="309"/>
      <c r="G4" s="309"/>
      <c r="H4" s="309"/>
      <c r="I4" s="309"/>
      <c r="J4" s="170"/>
      <c r="K4" s="163"/>
      <c r="L4" s="163"/>
      <c r="M4" s="163"/>
      <c r="N4" s="163"/>
      <c r="O4" s="45"/>
      <c r="P4" s="45"/>
      <c r="Q4" s="45"/>
      <c r="R4" s="45"/>
      <c r="S4" s="45"/>
      <c r="T4" s="45"/>
      <c r="U4" s="45"/>
    </row>
    <row r="5" spans="1:21">
      <c r="A5" s="169"/>
      <c r="B5" s="165"/>
      <c r="C5" s="165"/>
      <c r="D5" s="309"/>
      <c r="E5" s="309"/>
      <c r="F5" s="309"/>
      <c r="G5" s="309"/>
      <c r="H5" s="309"/>
      <c r="I5" s="165"/>
      <c r="J5" s="170"/>
      <c r="K5" s="163"/>
      <c r="L5" s="163"/>
      <c r="M5" s="163"/>
      <c r="N5" s="163"/>
      <c r="O5" s="45"/>
      <c r="P5" s="45"/>
      <c r="Q5" s="45"/>
      <c r="R5" s="45"/>
      <c r="S5" s="45"/>
      <c r="T5" s="45"/>
      <c r="U5" s="45"/>
    </row>
    <row r="6" spans="1:21" ht="15" thickBot="1">
      <c r="A6" s="172" t="s">
        <v>185</v>
      </c>
      <c r="B6" s="165"/>
      <c r="C6" s="165"/>
      <c r="D6" s="354"/>
      <c r="E6" s="165">
        <f>2*B10</f>
        <v>134.58000000000001</v>
      </c>
      <c r="F6" s="165">
        <f>3*B10</f>
        <v>201.87</v>
      </c>
      <c r="G6" s="165">
        <f>5*B10</f>
        <v>336.45000000000005</v>
      </c>
      <c r="H6" s="165">
        <f>25*B10</f>
        <v>1682.2500000000002</v>
      </c>
      <c r="I6" s="165"/>
      <c r="J6" s="170"/>
      <c r="K6" s="163"/>
      <c r="L6" s="163"/>
      <c r="M6" s="163"/>
      <c r="N6" s="163"/>
      <c r="O6" s="45"/>
      <c r="P6" s="45"/>
      <c r="Q6" s="45"/>
      <c r="R6" s="45"/>
      <c r="S6" s="45"/>
      <c r="T6" s="45"/>
      <c r="U6" s="45"/>
    </row>
    <row r="7" spans="1:21" ht="14.5" customHeight="1">
      <c r="A7" s="766" t="s">
        <v>92</v>
      </c>
      <c r="B7" s="752" t="s">
        <v>162</v>
      </c>
      <c r="C7" s="752" t="s">
        <v>84</v>
      </c>
      <c r="D7" s="749" t="s">
        <v>5</v>
      </c>
      <c r="E7" s="750"/>
      <c r="F7" s="750"/>
      <c r="G7" s="750"/>
      <c r="H7" s="751"/>
      <c r="I7" s="752" t="s">
        <v>84</v>
      </c>
      <c r="J7" s="755"/>
      <c r="K7" s="163"/>
      <c r="L7" s="163"/>
      <c r="M7" s="163"/>
      <c r="N7" s="163"/>
      <c r="O7" s="45"/>
      <c r="P7" s="45"/>
      <c r="Q7" s="45"/>
      <c r="R7" s="45"/>
      <c r="S7" s="45"/>
      <c r="T7" s="45"/>
      <c r="U7" s="45"/>
    </row>
    <row r="8" spans="1:21" ht="29" thickBot="1">
      <c r="A8" s="767"/>
      <c r="B8" s="758"/>
      <c r="C8" s="758"/>
      <c r="D8" s="173" t="s">
        <v>6</v>
      </c>
      <c r="E8" s="174" t="s">
        <v>7</v>
      </c>
      <c r="F8" s="174" t="s">
        <v>8</v>
      </c>
      <c r="G8" s="174" t="s">
        <v>9</v>
      </c>
      <c r="H8" s="174" t="s">
        <v>258</v>
      </c>
      <c r="I8" s="753" t="s">
        <v>84</v>
      </c>
      <c r="J8" s="756" t="s">
        <v>12</v>
      </c>
      <c r="K8" s="163"/>
      <c r="L8" s="163"/>
      <c r="M8" s="163"/>
      <c r="N8" s="163"/>
      <c r="O8" s="45"/>
      <c r="P8" s="45"/>
      <c r="Q8" s="45"/>
      <c r="R8" s="45"/>
      <c r="S8" s="45"/>
      <c r="T8" s="45"/>
      <c r="U8" s="45"/>
    </row>
    <row r="9" spans="1:21" ht="15" thickBot="1">
      <c r="A9" s="767"/>
      <c r="B9" s="758"/>
      <c r="C9" s="758"/>
      <c r="D9" s="346">
        <v>67.290000000000006</v>
      </c>
      <c r="E9" s="176" t="s">
        <v>340</v>
      </c>
      <c r="F9" s="176" t="s">
        <v>341</v>
      </c>
      <c r="G9" s="176" t="s">
        <v>342</v>
      </c>
      <c r="H9" s="176" t="s">
        <v>343</v>
      </c>
      <c r="I9" s="177" t="s">
        <v>85</v>
      </c>
      <c r="J9" s="178"/>
      <c r="K9" s="163"/>
      <c r="L9" s="163"/>
      <c r="M9" s="163"/>
      <c r="N9" s="163"/>
      <c r="O9" s="45"/>
      <c r="P9" s="45"/>
      <c r="Q9" s="45"/>
      <c r="R9" s="45"/>
      <c r="S9" s="45"/>
      <c r="T9" s="45"/>
      <c r="U9" s="45"/>
    </row>
    <row r="10" spans="1:21">
      <c r="A10" s="180" t="s">
        <v>22</v>
      </c>
      <c r="B10" s="181">
        <v>67.290000000000006</v>
      </c>
      <c r="C10" s="182" t="s">
        <v>85</v>
      </c>
      <c r="D10" s="183">
        <v>1</v>
      </c>
      <c r="E10" s="184">
        <v>2</v>
      </c>
      <c r="F10" s="184">
        <v>3</v>
      </c>
      <c r="G10" s="184">
        <v>5</v>
      </c>
      <c r="H10" s="184">
        <v>25</v>
      </c>
      <c r="I10" s="185" t="s">
        <v>86</v>
      </c>
      <c r="J10" s="186">
        <f>H10*67*30</f>
        <v>50250</v>
      </c>
      <c r="K10" s="163"/>
      <c r="L10" s="163"/>
      <c r="M10" s="163"/>
      <c r="N10" s="163"/>
      <c r="O10" s="45"/>
      <c r="P10" s="45"/>
      <c r="Q10" s="45"/>
      <c r="R10" s="45"/>
      <c r="S10" s="45"/>
      <c r="T10" s="45"/>
      <c r="U10" s="45"/>
    </row>
    <row r="11" spans="1:21">
      <c r="A11" s="188" t="s">
        <v>168</v>
      </c>
      <c r="B11" s="189"/>
      <c r="C11" s="190"/>
      <c r="D11" s="325">
        <f>D10*$B$10</f>
        <v>67.290000000000006</v>
      </c>
      <c r="E11" s="193">
        <f>E10*$B$10</f>
        <v>134.58000000000001</v>
      </c>
      <c r="F11" s="193">
        <f>F10*$B$10</f>
        <v>201.87</v>
      </c>
      <c r="G11" s="193">
        <f>G10*$B$10</f>
        <v>336.45000000000005</v>
      </c>
      <c r="H11" s="193">
        <f>H10*$B$10</f>
        <v>1682.2500000000002</v>
      </c>
      <c r="I11" s="48" t="s">
        <v>95</v>
      </c>
      <c r="J11" s="165"/>
      <c r="K11" s="163"/>
      <c r="L11" s="163"/>
      <c r="M11" s="163"/>
      <c r="N11" s="163"/>
      <c r="O11" s="45"/>
      <c r="P11" s="45"/>
      <c r="Q11" s="45"/>
      <c r="R11" s="45"/>
      <c r="S11" s="45"/>
      <c r="T11" s="45"/>
      <c r="U11" s="45"/>
    </row>
    <row r="12" spans="1:21">
      <c r="A12" s="194" t="s">
        <v>29</v>
      </c>
      <c r="B12" s="195">
        <v>0.84667433988883134</v>
      </c>
      <c r="C12" s="190"/>
      <c r="D12" s="196"/>
      <c r="E12" s="196"/>
      <c r="F12" s="196"/>
      <c r="G12" s="196"/>
      <c r="H12" s="196"/>
      <c r="I12" s="197"/>
      <c r="J12" s="198">
        <f>H13*30</f>
        <v>28640.227327754248</v>
      </c>
      <c r="K12" s="163" t="s">
        <v>148</v>
      </c>
      <c r="L12" s="163"/>
      <c r="M12" s="163"/>
      <c r="N12" s="163"/>
      <c r="O12" s="45"/>
      <c r="P12" s="45"/>
      <c r="Q12" s="45"/>
      <c r="R12" s="45"/>
      <c r="S12" s="45"/>
      <c r="T12" s="45"/>
      <c r="U12" s="45"/>
    </row>
    <row r="13" spans="1:21">
      <c r="A13" s="188" t="s">
        <v>165</v>
      </c>
      <c r="B13" s="311"/>
      <c r="C13" s="190"/>
      <c r="D13" s="325">
        <f>B10</f>
        <v>67.290000000000006</v>
      </c>
      <c r="E13" s="193">
        <f>B65</f>
        <v>98.201212212923735</v>
      </c>
      <c r="F13" s="193">
        <f>B87</f>
        <v>165.49121221292381</v>
      </c>
      <c r="G13" s="193">
        <f>B109</f>
        <v>263.69242442584761</v>
      </c>
      <c r="H13" s="193">
        <f>B132</f>
        <v>954.67424425847491</v>
      </c>
      <c r="I13" s="48" t="s">
        <v>95</v>
      </c>
      <c r="J13" s="200">
        <f>5*67*30</f>
        <v>10050</v>
      </c>
      <c r="K13" s="163"/>
      <c r="L13" s="163"/>
      <c r="M13" s="163"/>
      <c r="N13" s="163"/>
      <c r="O13" s="45"/>
      <c r="P13" s="45"/>
      <c r="Q13" s="45"/>
      <c r="R13" s="45"/>
      <c r="S13" s="45"/>
      <c r="T13" s="45"/>
      <c r="U13" s="45"/>
    </row>
    <row r="14" spans="1:21">
      <c r="A14" s="201" t="s">
        <v>166</v>
      </c>
      <c r="B14" s="202">
        <f>'Principal T'!J5</f>
        <v>85</v>
      </c>
      <c r="C14" s="203" t="s">
        <v>85</v>
      </c>
      <c r="D14" s="205"/>
      <c r="E14" s="205"/>
      <c r="F14" s="205"/>
      <c r="G14" s="205"/>
      <c r="H14" s="205"/>
      <c r="I14" s="206"/>
      <c r="J14" s="200"/>
      <c r="K14" s="163"/>
      <c r="L14" s="163"/>
      <c r="M14" s="163"/>
      <c r="N14" s="163"/>
      <c r="O14" s="45"/>
      <c r="P14" s="45"/>
      <c r="Q14" s="45"/>
      <c r="R14" s="45"/>
      <c r="S14" s="45"/>
      <c r="T14" s="45"/>
      <c r="U14" s="45"/>
    </row>
    <row r="15" spans="1:21">
      <c r="A15" s="207" t="s">
        <v>169</v>
      </c>
      <c r="B15" s="208">
        <f>(B14/B10)-1</f>
        <v>0.2631891811561895</v>
      </c>
      <c r="C15" s="203"/>
      <c r="D15" s="205"/>
      <c r="E15" s="205"/>
      <c r="F15" s="205"/>
      <c r="G15" s="205"/>
      <c r="H15" s="205"/>
      <c r="I15" s="206"/>
      <c r="J15" s="200"/>
      <c r="K15" s="163"/>
      <c r="L15" s="163"/>
      <c r="M15" s="163"/>
      <c r="N15" s="163"/>
      <c r="O15" s="45"/>
      <c r="P15" s="45"/>
      <c r="Q15" s="45"/>
      <c r="R15" s="45"/>
      <c r="S15" s="45"/>
      <c r="T15" s="45"/>
      <c r="U15" s="45"/>
    </row>
    <row r="16" spans="1:21">
      <c r="A16" s="207" t="s">
        <v>170</v>
      </c>
      <c r="B16" s="202"/>
      <c r="C16" s="203"/>
      <c r="D16" s="326">
        <f>B14</f>
        <v>85</v>
      </c>
      <c r="E16" s="212">
        <f>IF(E11&gt;B14,E11,B14)</f>
        <v>134.58000000000001</v>
      </c>
      <c r="F16" s="212">
        <f>IF(F11&gt;B14,F11,B14)</f>
        <v>201.87</v>
      </c>
      <c r="G16" s="212">
        <f>IF(G11&gt;B14,G11,B14)</f>
        <v>336.45000000000005</v>
      </c>
      <c r="H16" s="212">
        <f>IF(H11&gt;B14,H11,B14)</f>
        <v>1682.2500000000002</v>
      </c>
      <c r="I16" s="206" t="s">
        <v>95</v>
      </c>
      <c r="J16" s="200"/>
      <c r="K16" s="163"/>
      <c r="L16" s="163"/>
      <c r="M16" s="163"/>
      <c r="N16" s="163"/>
      <c r="O16" s="45"/>
      <c r="P16" s="45"/>
      <c r="Q16" s="45"/>
      <c r="R16" s="45"/>
      <c r="S16" s="45"/>
      <c r="T16" s="45"/>
      <c r="U16" s="45"/>
    </row>
    <row r="17" spans="1:21" ht="15" thickBot="1">
      <c r="A17" s="213" t="s">
        <v>167</v>
      </c>
      <c r="B17" s="214">
        <f>(B27*1000000)/B22</f>
        <v>254.12595593895009</v>
      </c>
      <c r="C17" s="215"/>
      <c r="D17" s="327">
        <f>D16</f>
        <v>85</v>
      </c>
      <c r="E17" s="218">
        <f>B68</f>
        <v>101.20170958748797</v>
      </c>
      <c r="F17" s="218">
        <f>B90</f>
        <v>165.49121221292381</v>
      </c>
      <c r="G17" s="218">
        <f>B112</f>
        <v>263.69242442584761</v>
      </c>
      <c r="H17" s="218">
        <f>B135</f>
        <v>954.67424425847491</v>
      </c>
      <c r="I17" s="219" t="s">
        <v>95</v>
      </c>
      <c r="J17" s="200"/>
      <c r="K17" s="163"/>
      <c r="L17" s="163"/>
      <c r="M17" s="163"/>
      <c r="N17" s="163"/>
      <c r="O17" s="45"/>
      <c r="P17" s="45"/>
      <c r="Q17" s="45"/>
      <c r="R17" s="45"/>
      <c r="S17" s="45"/>
      <c r="T17" s="45"/>
      <c r="U17" s="45"/>
    </row>
    <row r="18" spans="1:21">
      <c r="A18" s="355"/>
      <c r="B18" s="329"/>
      <c r="C18" s="330"/>
      <c r="D18" s="316"/>
      <c r="E18" s="316"/>
      <c r="F18" s="316"/>
      <c r="G18" s="316"/>
      <c r="H18" s="316"/>
      <c r="I18" s="316"/>
      <c r="J18" s="316"/>
      <c r="K18" s="163"/>
      <c r="L18" s="163"/>
      <c r="M18" s="163"/>
      <c r="N18" s="163"/>
      <c r="O18" s="45"/>
      <c r="P18" s="45"/>
      <c r="Q18" s="45"/>
      <c r="R18" s="45"/>
      <c r="S18" s="45"/>
      <c r="T18" s="45"/>
      <c r="U18" s="45"/>
    </row>
    <row r="19" spans="1:21" ht="15" thickBot="1">
      <c r="A19" s="172" t="s">
        <v>184</v>
      </c>
      <c r="B19" s="329"/>
      <c r="C19" s="330"/>
      <c r="D19" s="316"/>
      <c r="E19" s="316"/>
      <c r="F19" s="316"/>
      <c r="G19" s="316"/>
      <c r="H19" s="316"/>
      <c r="I19" s="316"/>
      <c r="J19" s="316"/>
      <c r="K19" s="163"/>
      <c r="L19" s="163"/>
      <c r="M19" s="163"/>
      <c r="N19" s="163"/>
      <c r="O19" s="45"/>
      <c r="P19" s="45"/>
      <c r="Q19" s="45"/>
      <c r="R19" s="45"/>
      <c r="S19" s="45"/>
      <c r="T19" s="45"/>
      <c r="U19" s="45"/>
    </row>
    <row r="20" spans="1:21">
      <c r="A20" s="759" t="s">
        <v>161</v>
      </c>
      <c r="B20" s="752" t="s">
        <v>162</v>
      </c>
      <c r="C20" s="752" t="s">
        <v>84</v>
      </c>
      <c r="D20" s="749" t="s">
        <v>5</v>
      </c>
      <c r="E20" s="750"/>
      <c r="F20" s="750"/>
      <c r="G20" s="750"/>
      <c r="H20" s="750"/>
      <c r="I20" s="752" t="s">
        <v>84</v>
      </c>
      <c r="J20" s="316"/>
      <c r="K20" s="163"/>
      <c r="L20" s="163"/>
      <c r="M20" s="163"/>
      <c r="N20" s="163"/>
      <c r="O20" s="45"/>
      <c r="P20" s="45"/>
      <c r="Q20" s="45"/>
      <c r="R20" s="45"/>
      <c r="S20" s="45"/>
      <c r="T20" s="45"/>
      <c r="U20" s="45"/>
    </row>
    <row r="21" spans="1:21" ht="29" thickBot="1">
      <c r="A21" s="760"/>
      <c r="B21" s="753"/>
      <c r="C21" s="753"/>
      <c r="D21" s="173" t="s">
        <v>6</v>
      </c>
      <c r="E21" s="174" t="s">
        <v>7</v>
      </c>
      <c r="F21" s="174" t="s">
        <v>8</v>
      </c>
      <c r="G21" s="174" t="s">
        <v>9</v>
      </c>
      <c r="H21" s="174" t="s">
        <v>258</v>
      </c>
      <c r="I21" s="753"/>
      <c r="J21" s="316"/>
      <c r="K21" s="163"/>
      <c r="L21" s="163"/>
      <c r="M21" s="163"/>
      <c r="N21" s="163"/>
      <c r="O21" s="45"/>
      <c r="P21" s="45"/>
      <c r="Q21" s="45"/>
      <c r="R21" s="45"/>
      <c r="S21" s="45"/>
      <c r="T21" s="45"/>
      <c r="U21" s="45"/>
    </row>
    <row r="22" spans="1:21">
      <c r="A22" s="229" t="s">
        <v>172</v>
      </c>
      <c r="B22" s="230">
        <f>SUM(D22:H22)</f>
        <v>20258551</v>
      </c>
      <c r="C22" s="185" t="s">
        <v>86</v>
      </c>
      <c r="D22" s="231">
        <f>'[1]Servicios H'!D22+'[1]Servicios M'!D22</f>
        <v>2438333.4965194119</v>
      </c>
      <c r="E22" s="232">
        <f>'[1]Servicios H'!E22+'[1]Servicios M'!E22</f>
        <v>5476545.7240808476</v>
      </c>
      <c r="F22" s="232">
        <f>'[1]Servicios H'!F22+'[1]Servicios M'!F22</f>
        <v>5288696.9217826445</v>
      </c>
      <c r="G22" s="232">
        <f>'[1]Servicios H'!G22+'[1]Servicios M'!G22</f>
        <v>4665399.3793263305</v>
      </c>
      <c r="H22" s="232">
        <f>'[1]Servicios H'!H22+'[1]Servicios M'!H22</f>
        <v>2389575.4782907669</v>
      </c>
      <c r="I22" s="185" t="s">
        <v>86</v>
      </c>
      <c r="J22" s="316"/>
      <c r="K22" s="163"/>
      <c r="L22" s="163"/>
      <c r="M22" s="163"/>
      <c r="N22" s="163"/>
      <c r="O22" s="45"/>
      <c r="P22" s="45"/>
      <c r="Q22" s="45"/>
      <c r="R22" s="45"/>
      <c r="S22" s="45"/>
      <c r="T22" s="45"/>
      <c r="U22" s="45"/>
    </row>
    <row r="23" spans="1:21">
      <c r="A23" s="194" t="s">
        <v>345</v>
      </c>
      <c r="B23" s="233">
        <f>SUM(D23:H23)/1000000</f>
        <v>5088.6083915228292</v>
      </c>
      <c r="C23" s="48" t="s">
        <v>87</v>
      </c>
      <c r="D23" s="231">
        <f>D22*B10</f>
        <v>164075460.98079124</v>
      </c>
      <c r="E23" s="232">
        <f>G62</f>
        <v>537803428.84424329</v>
      </c>
      <c r="F23" s="232">
        <f>G84</f>
        <v>875232864.61256838</v>
      </c>
      <c r="G23" s="232">
        <f>G106</f>
        <v>1230230473.2494044</v>
      </c>
      <c r="H23" s="232">
        <f>G129</f>
        <v>2281266163.8358212</v>
      </c>
      <c r="I23" s="234" t="s">
        <v>246</v>
      </c>
      <c r="J23" s="250"/>
      <c r="K23" s="163"/>
      <c r="L23" s="163"/>
      <c r="M23" s="163"/>
      <c r="N23" s="163"/>
      <c r="O23" s="45"/>
      <c r="P23" s="45"/>
      <c r="Q23" s="45"/>
      <c r="R23" s="45"/>
      <c r="S23" s="45"/>
      <c r="T23" s="45"/>
      <c r="U23" s="45"/>
    </row>
    <row r="24" spans="1:21">
      <c r="A24" s="194" t="s">
        <v>23</v>
      </c>
      <c r="B24" s="235"/>
      <c r="C24" s="48"/>
      <c r="D24" s="231"/>
      <c r="E24" s="232"/>
      <c r="F24" s="232"/>
      <c r="G24" s="232"/>
      <c r="H24" s="232"/>
      <c r="I24" s="236"/>
      <c r="J24" s="250"/>
      <c r="K24" s="163"/>
      <c r="L24" s="163"/>
      <c r="M24" s="163"/>
      <c r="N24" s="163"/>
      <c r="O24" s="45"/>
      <c r="P24" s="45"/>
      <c r="Q24" s="45"/>
      <c r="R24" s="45"/>
      <c r="S24" s="45"/>
      <c r="T24" s="45"/>
      <c r="U24" s="45"/>
    </row>
    <row r="25" spans="1:21">
      <c r="A25" s="237" t="s">
        <v>24</v>
      </c>
      <c r="B25" s="238">
        <f>SUM(D25:H25)</f>
        <v>4414387.009729242</v>
      </c>
      <c r="C25" s="48" t="s">
        <v>86</v>
      </c>
      <c r="D25" s="231">
        <f>D22</f>
        <v>2438333.4965194119</v>
      </c>
      <c r="E25" s="232">
        <f>L62</f>
        <v>1976053.5132098303</v>
      </c>
      <c r="F25" s="232">
        <f>L84</f>
        <v>0</v>
      </c>
      <c r="G25" s="232">
        <f>L106</f>
        <v>0</v>
      </c>
      <c r="H25" s="232">
        <f>L129</f>
        <v>0</v>
      </c>
      <c r="I25" s="48" t="s">
        <v>86</v>
      </c>
      <c r="J25" s="250"/>
      <c r="K25" s="163"/>
      <c r="L25" s="163"/>
      <c r="M25" s="163"/>
      <c r="N25" s="163"/>
      <c r="O25" s="45"/>
      <c r="P25" s="45"/>
      <c r="Q25" s="45"/>
      <c r="R25" s="45"/>
      <c r="S25" s="45"/>
      <c r="T25" s="45"/>
      <c r="U25" s="45"/>
    </row>
    <row r="26" spans="1:21">
      <c r="A26" s="237" t="s">
        <v>25</v>
      </c>
      <c r="B26" s="238">
        <f>SUM(D26:H26)</f>
        <v>15844163.990270758</v>
      </c>
      <c r="C26" s="48" t="s">
        <v>86</v>
      </c>
      <c r="D26" s="231"/>
      <c r="E26" s="232">
        <f>E22-E25</f>
        <v>3500492.2108710175</v>
      </c>
      <c r="F26" s="232">
        <f>F22-F25</f>
        <v>5288696.9217826445</v>
      </c>
      <c r="G26" s="232">
        <f>G22</f>
        <v>4665399.3793263305</v>
      </c>
      <c r="H26" s="232">
        <f>H22</f>
        <v>2389575.4782907669</v>
      </c>
      <c r="I26" s="48" t="s">
        <v>86</v>
      </c>
      <c r="J26" s="250"/>
      <c r="K26" s="163"/>
      <c r="L26" s="163"/>
      <c r="M26" s="163"/>
      <c r="N26" s="163"/>
      <c r="O26" s="45"/>
      <c r="P26" s="45"/>
      <c r="Q26" s="45"/>
      <c r="R26" s="45"/>
      <c r="S26" s="45"/>
      <c r="T26" s="45"/>
      <c r="U26" s="45"/>
    </row>
    <row r="27" spans="1:21" ht="15" thickBot="1">
      <c r="A27" s="239" t="s">
        <v>346</v>
      </c>
      <c r="B27" s="240">
        <f>SUM(D27:H27)/1000000</f>
        <v>5148.2236388129731</v>
      </c>
      <c r="C27" s="50" t="s">
        <v>87</v>
      </c>
      <c r="D27" s="241">
        <f>D25*D17</f>
        <v>207258347.20415002</v>
      </c>
      <c r="E27" s="242">
        <f>K62</f>
        <v>554235789.91102886</v>
      </c>
      <c r="F27" s="242">
        <f>K84</f>
        <v>875232864.61256838</v>
      </c>
      <c r="G27" s="242">
        <f>K106</f>
        <v>1230230473.2494044</v>
      </c>
      <c r="H27" s="242">
        <f>K129</f>
        <v>2281266163.8358212</v>
      </c>
      <c r="I27" s="243" t="s">
        <v>90</v>
      </c>
      <c r="J27" s="250"/>
      <c r="K27" s="163"/>
      <c r="L27" s="163"/>
      <c r="M27" s="163"/>
      <c r="N27" s="163"/>
      <c r="O27" s="45"/>
      <c r="P27" s="45"/>
      <c r="Q27" s="45"/>
      <c r="R27" s="45"/>
      <c r="S27" s="45"/>
      <c r="T27" s="45"/>
      <c r="U27" s="45"/>
    </row>
    <row r="28" spans="1:21" ht="15" thickBot="1">
      <c r="A28" s="244" t="s">
        <v>245</v>
      </c>
      <c r="B28" s="245">
        <f>((D23*D28)+(E23*E28)+(F23*F28)+(G23*G28)+(H23*H28))/(B23*1000000)</f>
        <v>0.17630688355852095</v>
      </c>
      <c r="C28" s="51"/>
      <c r="D28" s="246">
        <v>6.4000000000000001E-2</v>
      </c>
      <c r="E28" s="246">
        <v>6.4000000000000001E-2</v>
      </c>
      <c r="F28" s="247">
        <v>0.10879999999999999</v>
      </c>
      <c r="G28" s="247">
        <v>0.1792</v>
      </c>
      <c r="H28" s="246">
        <v>0.23519999999999999</v>
      </c>
      <c r="I28" s="250"/>
      <c r="J28" s="250"/>
      <c r="K28" s="163"/>
      <c r="L28" s="163"/>
      <c r="M28" s="163"/>
      <c r="N28" s="163"/>
      <c r="O28" s="45"/>
      <c r="P28" s="45"/>
      <c r="Q28" s="45"/>
      <c r="R28" s="45"/>
      <c r="S28" s="45"/>
      <c r="T28" s="45"/>
      <c r="U28" s="45"/>
    </row>
    <row r="29" spans="1:21" ht="15" thickBot="1">
      <c r="A29" s="172" t="s">
        <v>183</v>
      </c>
      <c r="B29" s="250"/>
      <c r="C29" s="51"/>
      <c r="D29" s="250"/>
      <c r="E29" s="250"/>
      <c r="F29" s="250"/>
      <c r="G29" s="250"/>
      <c r="H29" s="250"/>
      <c r="I29" s="250"/>
      <c r="J29" s="250"/>
      <c r="K29" s="163"/>
      <c r="L29" s="163"/>
      <c r="M29" s="163"/>
      <c r="N29" s="163"/>
      <c r="O29" s="45"/>
      <c r="P29" s="45"/>
      <c r="Q29" s="45"/>
      <c r="R29" s="45"/>
      <c r="S29" s="45"/>
      <c r="T29" s="45"/>
      <c r="U29" s="45"/>
    </row>
    <row r="30" spans="1:21">
      <c r="A30" s="743" t="s">
        <v>91</v>
      </c>
      <c r="B30" s="744"/>
      <c r="C30" s="745"/>
      <c r="D30" s="250"/>
      <c r="E30" s="250"/>
      <c r="F30" s="250"/>
      <c r="G30" s="250"/>
      <c r="H30" s="250"/>
      <c r="I30" s="250"/>
      <c r="J30" s="250"/>
      <c r="K30" s="163"/>
      <c r="L30" s="163"/>
      <c r="M30" s="163"/>
      <c r="N30" s="163"/>
      <c r="O30" s="45"/>
      <c r="P30" s="45"/>
      <c r="Q30" s="45"/>
      <c r="R30" s="45"/>
      <c r="S30" s="45"/>
      <c r="T30" s="45"/>
      <c r="U30" s="45"/>
    </row>
    <row r="31" spans="1:21" ht="15" thickBot="1">
      <c r="A31" s="252" t="s">
        <v>92</v>
      </c>
      <c r="B31" s="253" t="s">
        <v>93</v>
      </c>
      <c r="C31" s="254" t="s">
        <v>94</v>
      </c>
      <c r="D31" s="250"/>
      <c r="E31" s="250"/>
      <c r="F31" s="250"/>
      <c r="G31" s="250"/>
      <c r="H31" s="250"/>
      <c r="I31" s="250"/>
      <c r="J31" s="250"/>
      <c r="K31" s="163"/>
      <c r="L31" s="163"/>
      <c r="M31" s="163"/>
      <c r="N31" s="163"/>
      <c r="O31" s="45"/>
      <c r="P31" s="45"/>
      <c r="Q31" s="45"/>
      <c r="R31" s="45"/>
      <c r="S31" s="45"/>
      <c r="T31" s="45"/>
      <c r="U31" s="45"/>
    </row>
    <row r="32" spans="1:21">
      <c r="A32" s="229" t="s">
        <v>252</v>
      </c>
      <c r="B32" s="256">
        <f>Servicios!B27-Servicios!B23</f>
        <v>59.615247290143998</v>
      </c>
      <c r="C32" s="158" t="s">
        <v>87</v>
      </c>
      <c r="D32" s="250"/>
      <c r="E32" s="331"/>
      <c r="F32" s="250"/>
      <c r="G32" s="250"/>
      <c r="H32" s="250"/>
      <c r="I32" s="250"/>
      <c r="J32" s="250"/>
      <c r="K32" s="163"/>
      <c r="L32" s="163"/>
      <c r="M32" s="163"/>
      <c r="N32" s="163"/>
      <c r="O32" s="45"/>
      <c r="P32" s="45"/>
      <c r="Q32" s="45"/>
      <c r="R32" s="45"/>
      <c r="S32" s="45"/>
      <c r="T32" s="45"/>
      <c r="U32" s="45"/>
    </row>
    <row r="33" spans="1:21">
      <c r="A33" s="257" t="s">
        <v>251</v>
      </c>
      <c r="B33" s="321">
        <f>B32*360</f>
        <v>21461.489024451839</v>
      </c>
      <c r="C33" s="52" t="s">
        <v>87</v>
      </c>
      <c r="D33" s="250"/>
      <c r="E33" s="331"/>
      <c r="F33" s="250"/>
      <c r="G33" s="250"/>
      <c r="H33" s="250"/>
      <c r="I33" s="250"/>
      <c r="J33" s="250"/>
      <c r="K33" s="163"/>
      <c r="L33" s="163"/>
      <c r="M33" s="163"/>
      <c r="N33" s="163"/>
      <c r="O33" s="45"/>
      <c r="P33" s="45"/>
      <c r="Q33" s="45"/>
      <c r="R33" s="45"/>
      <c r="S33" s="45"/>
      <c r="T33" s="45"/>
      <c r="U33" s="45"/>
    </row>
    <row r="34" spans="1:21">
      <c r="A34" s="257" t="s">
        <v>253</v>
      </c>
      <c r="B34" s="258">
        <f>B33*(1+B28)</f>
        <v>25245.297270878342</v>
      </c>
      <c r="C34" s="52"/>
      <c r="D34" s="250"/>
      <c r="E34" s="331"/>
      <c r="F34" s="250"/>
      <c r="G34" s="250"/>
      <c r="H34" s="250"/>
      <c r="I34" s="250"/>
      <c r="J34" s="250"/>
      <c r="K34" s="163"/>
      <c r="L34" s="163"/>
      <c r="M34" s="163"/>
      <c r="N34" s="163"/>
      <c r="O34" s="45"/>
      <c r="P34" s="45"/>
      <c r="Q34" s="45"/>
      <c r="R34" s="45"/>
      <c r="S34" s="45"/>
      <c r="T34" s="45"/>
      <c r="U34" s="45"/>
    </row>
    <row r="35" spans="1:21">
      <c r="A35" s="194" t="s">
        <v>247</v>
      </c>
      <c r="B35" s="262">
        <f>'Efecto piramidado '!F11</f>
        <v>3.2859027792577766E-3</v>
      </c>
      <c r="C35" s="52"/>
      <c r="D35" s="250"/>
      <c r="E35" s="331"/>
      <c r="F35" s="250"/>
      <c r="G35" s="250"/>
      <c r="H35" s="250"/>
      <c r="I35" s="250"/>
      <c r="J35" s="250"/>
      <c r="K35" s="163"/>
      <c r="L35" s="163"/>
      <c r="M35" s="163"/>
      <c r="N35" s="163"/>
      <c r="O35" s="45"/>
      <c r="P35" s="45"/>
      <c r="Q35" s="45"/>
      <c r="R35" s="45"/>
      <c r="S35" s="45"/>
      <c r="T35" s="45"/>
      <c r="U35" s="45"/>
    </row>
    <row r="36" spans="1:21">
      <c r="A36" s="194" t="s">
        <v>248</v>
      </c>
      <c r="B36" s="262">
        <f>'Efecto piramidado '!F12</f>
        <v>7.0690413787562892E-3</v>
      </c>
      <c r="C36" s="52"/>
      <c r="D36" s="250"/>
      <c r="E36" s="331"/>
      <c r="F36" s="250"/>
      <c r="G36" s="250"/>
      <c r="H36" s="250"/>
      <c r="I36" s="250"/>
      <c r="J36" s="250"/>
      <c r="K36" s="163"/>
      <c r="L36" s="163"/>
      <c r="M36" s="163"/>
      <c r="N36" s="163"/>
      <c r="O36" s="45"/>
      <c r="P36" s="45"/>
      <c r="Q36" s="45"/>
      <c r="R36" s="45"/>
      <c r="S36" s="45"/>
      <c r="T36" s="45"/>
      <c r="U36" s="45"/>
    </row>
    <row r="37" spans="1:21">
      <c r="A37" s="194" t="s">
        <v>249</v>
      </c>
      <c r="B37" s="262">
        <f>(B34*1000000)/B38</f>
        <v>1.1554988909189901E-2</v>
      </c>
      <c r="C37" s="52"/>
      <c r="D37" s="250"/>
      <c r="E37" s="250"/>
      <c r="F37" s="250"/>
      <c r="G37" s="250"/>
      <c r="H37" s="250"/>
      <c r="I37" s="250"/>
      <c r="J37" s="250"/>
      <c r="K37" s="163"/>
      <c r="L37" s="163"/>
      <c r="M37" s="163"/>
      <c r="N37" s="163"/>
      <c r="O37" s="45"/>
      <c r="P37" s="45"/>
      <c r="Q37" s="45"/>
      <c r="R37" s="45"/>
      <c r="S37" s="45"/>
      <c r="T37" s="45"/>
      <c r="U37" s="45"/>
    </row>
    <row r="38" spans="1:21">
      <c r="A38" s="194" t="s">
        <v>149</v>
      </c>
      <c r="B38" s="266">
        <f>'Valores en precios 2014'!F45*1000000</f>
        <v>2184796322115.0544</v>
      </c>
      <c r="C38" s="52" t="s">
        <v>85</v>
      </c>
      <c r="D38" s="250"/>
      <c r="E38" s="250"/>
      <c r="F38" s="250"/>
      <c r="G38" s="250"/>
      <c r="H38" s="250"/>
      <c r="I38" s="250"/>
      <c r="J38" s="250"/>
      <c r="K38" s="163"/>
      <c r="L38" s="163"/>
      <c r="M38" s="163"/>
      <c r="N38" s="163"/>
      <c r="O38" s="45"/>
      <c r="P38" s="45"/>
      <c r="Q38" s="45"/>
      <c r="R38" s="45"/>
      <c r="S38" s="45"/>
      <c r="T38" s="45"/>
      <c r="U38" s="45"/>
    </row>
    <row r="39" spans="1:21">
      <c r="A39" s="269" t="s">
        <v>239</v>
      </c>
      <c r="B39" s="270">
        <f>B38/365/(1+B28)/1000000</f>
        <v>5088.5899180939668</v>
      </c>
      <c r="C39" s="52" t="s">
        <v>87</v>
      </c>
      <c r="D39" s="250"/>
      <c r="E39" s="250"/>
      <c r="F39" s="250"/>
      <c r="G39" s="250"/>
      <c r="H39" s="250"/>
      <c r="I39" s="250"/>
      <c r="J39" s="250"/>
      <c r="K39" s="163"/>
      <c r="L39" s="163"/>
      <c r="M39" s="163"/>
      <c r="N39" s="163"/>
      <c r="O39" s="45"/>
      <c r="P39" s="45"/>
      <c r="Q39" s="45"/>
      <c r="R39" s="45"/>
      <c r="S39" s="45"/>
      <c r="T39" s="45"/>
      <c r="U39" s="45"/>
    </row>
    <row r="40" spans="1:21">
      <c r="A40" s="194" t="s">
        <v>157</v>
      </c>
      <c r="B40" s="266">
        <f>Servicios!B23-B39</f>
        <v>1.8473428862307628E-2</v>
      </c>
      <c r="C40" s="52" t="s">
        <v>87</v>
      </c>
      <c r="D40" s="250"/>
      <c r="E40" s="250"/>
      <c r="F40" s="250"/>
      <c r="G40" s="250"/>
      <c r="H40" s="250"/>
      <c r="I40" s="250"/>
      <c r="J40" s="250"/>
      <c r="K40" s="163"/>
      <c r="L40" s="163"/>
      <c r="M40" s="163"/>
      <c r="N40" s="163"/>
      <c r="O40" s="45"/>
      <c r="P40" s="45"/>
      <c r="Q40" s="45"/>
      <c r="R40" s="45"/>
      <c r="S40" s="45"/>
      <c r="T40" s="45"/>
      <c r="U40" s="45"/>
    </row>
    <row r="41" spans="1:21">
      <c r="A41" s="194" t="s">
        <v>158</v>
      </c>
      <c r="B41" s="356">
        <f>(Servicios!B23-B39)/Servicios!B23</f>
        <v>3.6303498797594099E-6</v>
      </c>
      <c r="C41" s="52"/>
      <c r="D41" s="250"/>
      <c r="E41" s="250"/>
      <c r="F41" s="250"/>
      <c r="G41" s="250"/>
      <c r="H41" s="250"/>
      <c r="I41" s="250"/>
      <c r="J41" s="250"/>
      <c r="K41" s="163"/>
      <c r="L41" s="163"/>
      <c r="M41" s="163"/>
      <c r="N41" s="163"/>
      <c r="O41" s="45"/>
      <c r="P41" s="45"/>
      <c r="Q41" s="45"/>
      <c r="R41" s="45"/>
      <c r="S41" s="45"/>
      <c r="T41" s="45"/>
      <c r="U41" s="45"/>
    </row>
    <row r="42" spans="1:21">
      <c r="A42" s="194" t="s">
        <v>347</v>
      </c>
      <c r="B42" s="273">
        <f>($B$27-$B$23)/B14*1000000</f>
        <v>701355.85047228239</v>
      </c>
      <c r="C42" s="52"/>
      <c r="D42" s="278"/>
      <c r="E42" s="278"/>
      <c r="F42" s="278"/>
      <c r="G42" s="278"/>
      <c r="H42" s="278"/>
      <c r="I42" s="278"/>
      <c r="J42" s="278"/>
      <c r="K42" s="279"/>
      <c r="L42" s="275"/>
      <c r="M42" s="275"/>
      <c r="N42" s="275"/>
      <c r="O42" s="3"/>
      <c r="P42" s="3"/>
      <c r="Q42" s="3"/>
      <c r="R42" s="3"/>
      <c r="S42" s="3"/>
      <c r="T42" s="3"/>
      <c r="U42" s="3"/>
    </row>
    <row r="43" spans="1:21" ht="16.25" customHeight="1">
      <c r="A43" s="194" t="s">
        <v>348</v>
      </c>
      <c r="B43" s="276">
        <f>B42/$B$22</f>
        <v>3.4620237670121734E-2</v>
      </c>
      <c r="C43" s="277"/>
      <c r="D43" s="279"/>
      <c r="E43" s="279"/>
      <c r="F43" s="279"/>
      <c r="G43" s="279"/>
      <c r="H43" s="279"/>
      <c r="I43" s="279"/>
      <c r="J43" s="279"/>
      <c r="K43" s="279"/>
      <c r="L43" s="275"/>
      <c r="M43" s="275"/>
      <c r="N43" s="280"/>
      <c r="O43" s="4"/>
      <c r="P43" s="4"/>
      <c r="Q43" s="4"/>
      <c r="R43" s="4"/>
      <c r="S43" s="4"/>
      <c r="T43" s="4"/>
      <c r="U43" s="3"/>
    </row>
    <row r="44" spans="1:21">
      <c r="A44" s="194" t="s">
        <v>349</v>
      </c>
      <c r="B44" s="274">
        <f>($B$27-$B$23)/B17*1000000</f>
        <v>234589.36758300147</v>
      </c>
      <c r="C44" s="277"/>
      <c r="D44" s="163"/>
      <c r="E44" s="163"/>
      <c r="F44" s="163"/>
      <c r="G44" s="163"/>
      <c r="H44" s="163"/>
      <c r="I44" s="163"/>
      <c r="J44" s="163"/>
      <c r="K44" s="163"/>
      <c r="L44" s="285"/>
      <c r="M44" s="163"/>
      <c r="N44" s="163"/>
      <c r="O44" s="45"/>
      <c r="P44" s="45"/>
      <c r="Q44" s="45"/>
      <c r="R44" s="45"/>
      <c r="S44" s="45"/>
      <c r="T44" s="45"/>
      <c r="U44" s="45"/>
    </row>
    <row r="45" spans="1:21" ht="15" thickBot="1">
      <c r="A45" s="239" t="s">
        <v>348</v>
      </c>
      <c r="B45" s="282">
        <f>B44/$B$22</f>
        <v>1.1579770319358057E-2</v>
      </c>
      <c r="C45" s="283"/>
      <c r="D45" s="163"/>
      <c r="E45" s="163"/>
      <c r="F45" s="163"/>
      <c r="G45" s="163"/>
      <c r="H45" s="163"/>
      <c r="I45" s="163"/>
      <c r="J45" s="163"/>
      <c r="K45" s="163"/>
      <c r="L45" s="163"/>
      <c r="M45" s="163"/>
      <c r="N45" s="163"/>
      <c r="O45" s="45"/>
      <c r="P45" s="45"/>
      <c r="Q45" s="45"/>
      <c r="R45" s="45"/>
      <c r="S45" s="45"/>
      <c r="T45" s="45"/>
      <c r="U45" s="45"/>
    </row>
    <row r="46" spans="1:21">
      <c r="A46" s="163"/>
      <c r="B46" s="163"/>
      <c r="C46" s="163"/>
      <c r="D46" s="163"/>
      <c r="E46" s="163"/>
      <c r="F46" s="163"/>
      <c r="G46" s="163"/>
      <c r="H46" s="163"/>
      <c r="I46" s="163"/>
      <c r="J46" s="163"/>
      <c r="K46" s="163"/>
      <c r="L46" s="163"/>
      <c r="M46" s="163"/>
      <c r="N46" s="163"/>
      <c r="O46" s="45"/>
      <c r="P46" s="45"/>
      <c r="Q46" s="45"/>
      <c r="R46" s="45"/>
      <c r="S46" s="45"/>
      <c r="T46" s="45"/>
      <c r="U46" s="45"/>
    </row>
    <row r="47" spans="1:21">
      <c r="A47" s="172" t="s">
        <v>187</v>
      </c>
      <c r="B47" s="285"/>
      <c r="C47" s="163"/>
      <c r="D47" s="168"/>
      <c r="E47" s="171"/>
      <c r="F47" s="171"/>
      <c r="G47" s="171"/>
      <c r="H47" s="171"/>
      <c r="I47" s="168"/>
      <c r="J47" s="172" t="s">
        <v>186</v>
      </c>
      <c r="K47" s="168"/>
      <c r="L47" s="163"/>
      <c r="M47" s="163"/>
      <c r="N47" s="163"/>
      <c r="O47" s="45"/>
      <c r="P47" s="45"/>
      <c r="Q47" s="45"/>
      <c r="R47" s="45"/>
      <c r="S47" s="45"/>
      <c r="T47" s="45"/>
      <c r="U47" s="45"/>
    </row>
    <row r="48" spans="1:21">
      <c r="A48" s="287" t="s">
        <v>159</v>
      </c>
      <c r="B48" s="163"/>
      <c r="C48" s="163"/>
      <c r="D48" s="163"/>
      <c r="E48" s="163"/>
      <c r="F48" s="163"/>
      <c r="G48" s="163"/>
      <c r="H48" s="163"/>
      <c r="I48" s="163"/>
      <c r="J48" s="163"/>
      <c r="K48" s="163"/>
      <c r="L48" s="163"/>
      <c r="M48" s="163"/>
      <c r="N48" s="163"/>
      <c r="O48" s="45"/>
      <c r="P48" s="45"/>
      <c r="Q48" s="45"/>
      <c r="R48" s="45"/>
      <c r="S48" s="45"/>
      <c r="T48" s="45"/>
      <c r="U48" s="45"/>
    </row>
    <row r="49" spans="1:21">
      <c r="A49" s="179"/>
      <c r="B49" s="163"/>
      <c r="C49" s="163"/>
      <c r="D49" s="163"/>
      <c r="E49" s="163"/>
      <c r="F49" s="163"/>
      <c r="G49" s="163"/>
      <c r="H49" s="163"/>
      <c r="I49" s="163"/>
      <c r="J49" s="163"/>
      <c r="K49" s="163"/>
      <c r="L49" s="163"/>
      <c r="M49" s="163"/>
      <c r="N49" s="163"/>
      <c r="O49" s="45"/>
      <c r="P49" s="45"/>
      <c r="Q49" s="45"/>
      <c r="R49" s="45"/>
      <c r="S49" s="45"/>
      <c r="T49" s="45"/>
      <c r="U49" s="45"/>
    </row>
    <row r="50" spans="1:21">
      <c r="A50" s="291" t="s">
        <v>26</v>
      </c>
      <c r="B50" s="292"/>
      <c r="C50" s="292"/>
      <c r="D50" s="292"/>
      <c r="E50" s="292"/>
      <c r="F50" s="292"/>
      <c r="G50" s="292"/>
      <c r="H50" s="292"/>
      <c r="I50" s="293"/>
      <c r="J50" s="292">
        <f>B14</f>
        <v>85</v>
      </c>
      <c r="K50" s="292"/>
      <c r="L50" s="292"/>
      <c r="M50" s="163"/>
      <c r="N50" s="163"/>
      <c r="O50" s="45"/>
      <c r="P50" s="45"/>
      <c r="Q50" s="45"/>
      <c r="R50" s="45"/>
      <c r="S50" s="45"/>
      <c r="T50" s="45"/>
      <c r="U50" s="45"/>
    </row>
    <row r="51" spans="1:21">
      <c r="A51" s="295" t="s">
        <v>27</v>
      </c>
      <c r="B51" s="296" t="s">
        <v>28</v>
      </c>
      <c r="C51" s="296" t="s">
        <v>33</v>
      </c>
      <c r="D51" s="296" t="s">
        <v>36</v>
      </c>
      <c r="E51" s="296" t="s">
        <v>32</v>
      </c>
      <c r="F51" s="296" t="s">
        <v>35</v>
      </c>
      <c r="G51" s="296" t="s">
        <v>34</v>
      </c>
      <c r="H51" s="296" t="s">
        <v>31</v>
      </c>
      <c r="I51" s="297"/>
      <c r="J51" s="295" t="s">
        <v>40</v>
      </c>
      <c r="K51" s="295" t="s">
        <v>41</v>
      </c>
      <c r="L51" s="295" t="s">
        <v>45</v>
      </c>
      <c r="M51" s="163"/>
      <c r="N51" s="163"/>
      <c r="O51" s="45"/>
      <c r="P51" s="45"/>
      <c r="Q51" s="45"/>
      <c r="R51" s="45"/>
      <c r="S51" s="45"/>
      <c r="T51" s="45"/>
      <c r="U51" s="45"/>
    </row>
    <row r="52" spans="1:21">
      <c r="A52" s="292">
        <v>0.1</v>
      </c>
      <c r="B52" s="292">
        <f t="shared" ref="B52:B61" si="0">A52^$B$12</f>
        <v>0.14233957347347923</v>
      </c>
      <c r="C52" s="300">
        <f t="shared" ref="C52:C61" si="1">$B$64*B52</f>
        <v>779529.1824736743</v>
      </c>
      <c r="D52" s="292">
        <f>D13</f>
        <v>67.290000000000006</v>
      </c>
      <c r="E52" s="292">
        <f>D52+$D$52*$A$52*$B$66</f>
        <v>74.019000000000005</v>
      </c>
      <c r="F52" s="292">
        <f>AVERAGE(E52,D52)</f>
        <v>70.654500000000013</v>
      </c>
      <c r="G52" s="302">
        <f t="shared" ref="G52:G61" si="2">H52*F52</f>
        <v>55077244.623086229</v>
      </c>
      <c r="H52" s="302">
        <f>C52</f>
        <v>779529.1824736743</v>
      </c>
      <c r="I52" s="293"/>
      <c r="J52" s="292">
        <f>IF(F52&lt;$J$50,$J$50,F52)</f>
        <v>85</v>
      </c>
      <c r="K52" s="302">
        <f>H52*J52</f>
        <v>66259980.510262318</v>
      </c>
      <c r="L52" s="300">
        <f>IF(J52&gt;F52,H52,0)</f>
        <v>779529.1824736743</v>
      </c>
      <c r="M52" s="163"/>
      <c r="N52" s="163"/>
      <c r="O52" s="45"/>
      <c r="P52" s="45"/>
      <c r="Q52" s="45"/>
      <c r="R52" s="45"/>
      <c r="S52" s="45"/>
      <c r="T52" s="45"/>
      <c r="U52" s="45"/>
    </row>
    <row r="53" spans="1:21">
      <c r="A53" s="292">
        <f>A52+0.1</f>
        <v>0.2</v>
      </c>
      <c r="B53" s="292">
        <f t="shared" si="0"/>
        <v>0.25597646249662076</v>
      </c>
      <c r="C53" s="300">
        <f t="shared" si="1"/>
        <v>1401866.80115121</v>
      </c>
      <c r="D53" s="300">
        <f>E52</f>
        <v>74.019000000000005</v>
      </c>
      <c r="E53" s="292">
        <f t="shared" ref="E53:E61" si="3">D53+$D$52*$A$52*$B$66</f>
        <v>80.748000000000005</v>
      </c>
      <c r="F53" s="292">
        <f t="shared" ref="F53:F61" si="4">AVERAGE(E53,E52)</f>
        <v>77.383499999999998</v>
      </c>
      <c r="G53" s="302">
        <f t="shared" si="2"/>
        <v>48158663.114933081</v>
      </c>
      <c r="H53" s="302">
        <f t="shared" ref="H53:H61" si="5">C53-C52</f>
        <v>622337.61867753568</v>
      </c>
      <c r="I53" s="293"/>
      <c r="J53" s="292">
        <f t="shared" ref="J53:J61" si="6">IF(F53&lt;$J$50,$J$50,F53)</f>
        <v>85</v>
      </c>
      <c r="K53" s="302">
        <f t="shared" ref="K53:K61" si="7">H53*J53</f>
        <v>52898697.587590531</v>
      </c>
      <c r="L53" s="300">
        <f t="shared" ref="L53:L61" si="8">IF(J53&gt;F53,H53,0)</f>
        <v>622337.61867753568</v>
      </c>
      <c r="M53" s="163"/>
      <c r="N53" s="163"/>
      <c r="O53" s="45"/>
      <c r="P53" s="45"/>
      <c r="Q53" s="45"/>
      <c r="R53" s="45"/>
      <c r="S53" s="45"/>
      <c r="T53" s="45"/>
      <c r="U53" s="45"/>
    </row>
    <row r="54" spans="1:21">
      <c r="A54" s="292">
        <f t="shared" ref="A54:A61" si="9">A53+0.1</f>
        <v>0.30000000000000004</v>
      </c>
      <c r="B54" s="292">
        <f t="shared" si="0"/>
        <v>0.36082114762978262</v>
      </c>
      <c r="C54" s="300">
        <f t="shared" si="1"/>
        <v>1976053.5132098303</v>
      </c>
      <c r="D54" s="300">
        <f t="shared" ref="D54:D61" si="10">E53</f>
        <v>80.748000000000005</v>
      </c>
      <c r="E54" s="292">
        <f t="shared" si="3"/>
        <v>87.477000000000004</v>
      </c>
      <c r="F54" s="292">
        <f t="shared" si="4"/>
        <v>84.112500000000011</v>
      </c>
      <c r="G54" s="302">
        <f t="shared" si="2"/>
        <v>48296279.818030708</v>
      </c>
      <c r="H54" s="302">
        <f t="shared" si="5"/>
        <v>574186.71205862029</v>
      </c>
      <c r="I54" s="293"/>
      <c r="J54" s="292">
        <f t="shared" si="6"/>
        <v>85</v>
      </c>
      <c r="K54" s="302">
        <f t="shared" si="7"/>
        <v>48805870.524982728</v>
      </c>
      <c r="L54" s="300">
        <f t="shared" si="8"/>
        <v>574186.71205862029</v>
      </c>
      <c r="M54" s="163"/>
      <c r="N54" s="163"/>
      <c r="O54" s="45"/>
      <c r="P54" s="45"/>
      <c r="Q54" s="45"/>
      <c r="R54" s="45"/>
      <c r="S54" s="45"/>
      <c r="T54" s="45"/>
      <c r="U54" s="45"/>
    </row>
    <row r="55" spans="1:21">
      <c r="A55" s="292">
        <f t="shared" si="9"/>
        <v>0.4</v>
      </c>
      <c r="B55" s="292">
        <f t="shared" si="0"/>
        <v>0.4603354341545246</v>
      </c>
      <c r="C55" s="300">
        <f t="shared" si="1"/>
        <v>2521048.0535618621</v>
      </c>
      <c r="D55" s="300">
        <f t="shared" si="10"/>
        <v>87.477000000000004</v>
      </c>
      <c r="E55" s="292">
        <f t="shared" si="3"/>
        <v>94.206000000000003</v>
      </c>
      <c r="F55" s="292">
        <f t="shared" si="4"/>
        <v>90.841499999999996</v>
      </c>
      <c r="G55" s="302">
        <f t="shared" si="2"/>
        <v>49508121.5373891</v>
      </c>
      <c r="H55" s="302">
        <f t="shared" si="5"/>
        <v>544994.54035203182</v>
      </c>
      <c r="I55" s="293"/>
      <c r="J55" s="292">
        <f t="shared" si="6"/>
        <v>90.841499999999996</v>
      </c>
      <c r="K55" s="302">
        <f t="shared" si="7"/>
        <v>49508121.5373891</v>
      </c>
      <c r="L55" s="300">
        <f t="shared" si="8"/>
        <v>0</v>
      </c>
      <c r="M55" s="163"/>
      <c r="N55" s="163"/>
      <c r="O55" s="45"/>
      <c r="P55" s="45"/>
      <c r="Q55" s="45"/>
      <c r="R55" s="45"/>
      <c r="S55" s="45"/>
      <c r="T55" s="45"/>
      <c r="U55" s="45"/>
    </row>
    <row r="56" spans="1:21">
      <c r="A56" s="292">
        <f t="shared" si="9"/>
        <v>0.5</v>
      </c>
      <c r="B56" s="292">
        <f t="shared" si="0"/>
        <v>0.55606508538009936</v>
      </c>
      <c r="C56" s="300">
        <f t="shared" si="1"/>
        <v>3045315.8656490347</v>
      </c>
      <c r="D56" s="300">
        <f t="shared" si="10"/>
        <v>94.206000000000003</v>
      </c>
      <c r="E56" s="292">
        <f t="shared" si="3"/>
        <v>100.935</v>
      </c>
      <c r="F56" s="292">
        <f t="shared" si="4"/>
        <v>97.57050000000001</v>
      </c>
      <c r="G56" s="302">
        <f t="shared" si="2"/>
        <v>51153072.55925148</v>
      </c>
      <c r="H56" s="302">
        <f t="shared" si="5"/>
        <v>524267.81208717264</v>
      </c>
      <c r="I56" s="293"/>
      <c r="J56" s="292">
        <f t="shared" si="6"/>
        <v>97.57050000000001</v>
      </c>
      <c r="K56" s="302">
        <f t="shared" si="7"/>
        <v>51153072.55925148</v>
      </c>
      <c r="L56" s="300">
        <f t="shared" si="8"/>
        <v>0</v>
      </c>
      <c r="M56" s="163"/>
      <c r="N56" s="163"/>
      <c r="O56" s="45"/>
      <c r="P56" s="45"/>
      <c r="Q56" s="45"/>
      <c r="R56" s="45"/>
      <c r="S56" s="45"/>
      <c r="T56" s="45"/>
      <c r="U56" s="45"/>
    </row>
    <row r="57" spans="1:21">
      <c r="A57" s="292">
        <f t="shared" si="9"/>
        <v>0.6</v>
      </c>
      <c r="B57" s="292">
        <f t="shared" si="0"/>
        <v>0.64888294035426208</v>
      </c>
      <c r="C57" s="300">
        <f t="shared" si="1"/>
        <v>3553637.0924261417</v>
      </c>
      <c r="D57" s="300">
        <f t="shared" si="10"/>
        <v>100.935</v>
      </c>
      <c r="E57" s="292">
        <f t="shared" si="3"/>
        <v>107.664</v>
      </c>
      <c r="F57" s="292">
        <f t="shared" si="4"/>
        <v>104.29949999999999</v>
      </c>
      <c r="G57" s="302">
        <f t="shared" si="2"/>
        <v>53017649.792238869</v>
      </c>
      <c r="H57" s="302">
        <f t="shared" si="5"/>
        <v>508321.22677710699</v>
      </c>
      <c r="I57" s="293"/>
      <c r="J57" s="292">
        <f t="shared" si="6"/>
        <v>104.29949999999999</v>
      </c>
      <c r="K57" s="302">
        <f t="shared" si="7"/>
        <v>53017649.792238869</v>
      </c>
      <c r="L57" s="300">
        <f t="shared" si="8"/>
        <v>0</v>
      </c>
      <c r="M57" s="163"/>
      <c r="N57" s="163"/>
      <c r="O57" s="45"/>
      <c r="P57" s="45"/>
      <c r="Q57" s="45"/>
      <c r="R57" s="45"/>
      <c r="S57" s="45"/>
      <c r="T57" s="45"/>
      <c r="U57" s="45"/>
    </row>
    <row r="58" spans="1:21">
      <c r="A58" s="292">
        <f t="shared" si="9"/>
        <v>0.7</v>
      </c>
      <c r="B58" s="292">
        <f t="shared" si="0"/>
        <v>0.73934728987941256</v>
      </c>
      <c r="C58" s="300">
        <f t="shared" si="1"/>
        <v>4049069.2389998599</v>
      </c>
      <c r="D58" s="300">
        <f t="shared" si="10"/>
        <v>107.664</v>
      </c>
      <c r="E58" s="292">
        <f t="shared" si="3"/>
        <v>114.393</v>
      </c>
      <c r="F58" s="292">
        <f t="shared" si="4"/>
        <v>111.02850000000001</v>
      </c>
      <c r="G58" s="302">
        <f t="shared" si="2"/>
        <v>55007088.085860074</v>
      </c>
      <c r="H58" s="302">
        <f t="shared" si="5"/>
        <v>495432.14657371817</v>
      </c>
      <c r="I58" s="293"/>
      <c r="J58" s="292">
        <f t="shared" si="6"/>
        <v>111.02850000000001</v>
      </c>
      <c r="K58" s="302">
        <f t="shared" si="7"/>
        <v>55007088.085860074</v>
      </c>
      <c r="L58" s="300">
        <f t="shared" si="8"/>
        <v>0</v>
      </c>
      <c r="M58" s="163"/>
      <c r="N58" s="163"/>
      <c r="O58" s="45"/>
      <c r="P58" s="45"/>
      <c r="Q58" s="45"/>
      <c r="R58" s="45"/>
      <c r="S58" s="45"/>
      <c r="T58" s="45"/>
      <c r="U58" s="45"/>
    </row>
    <row r="59" spans="1:21">
      <c r="A59" s="292">
        <f t="shared" si="9"/>
        <v>0.79999999999999993</v>
      </c>
      <c r="B59" s="292">
        <f t="shared" si="0"/>
        <v>0.82784452082594151</v>
      </c>
      <c r="C59" s="300">
        <f t="shared" si="1"/>
        <v>4533728.3707330683</v>
      </c>
      <c r="D59" s="300">
        <f t="shared" si="10"/>
        <v>114.393</v>
      </c>
      <c r="E59" s="292">
        <f t="shared" si="3"/>
        <v>121.122</v>
      </c>
      <c r="F59" s="292">
        <f t="shared" si="4"/>
        <v>117.75749999999999</v>
      </c>
      <c r="G59" s="302">
        <f t="shared" si="2"/>
        <v>57072247.70507329</v>
      </c>
      <c r="H59" s="302">
        <f t="shared" si="5"/>
        <v>484659.13173320843</v>
      </c>
      <c r="I59" s="293"/>
      <c r="J59" s="292">
        <f t="shared" si="6"/>
        <v>117.75749999999999</v>
      </c>
      <c r="K59" s="302">
        <f t="shared" si="7"/>
        <v>57072247.70507329</v>
      </c>
      <c r="L59" s="300">
        <f t="shared" si="8"/>
        <v>0</v>
      </c>
      <c r="M59" s="163"/>
      <c r="N59" s="163"/>
      <c r="O59" s="45"/>
      <c r="P59" s="45"/>
      <c r="Q59" s="45"/>
      <c r="R59" s="45"/>
      <c r="S59" s="45"/>
      <c r="T59" s="45"/>
      <c r="U59" s="45"/>
    </row>
    <row r="60" spans="1:21">
      <c r="A60" s="292">
        <f t="shared" si="9"/>
        <v>0.89999999999999991</v>
      </c>
      <c r="B60" s="292">
        <f t="shared" si="0"/>
        <v>0.91465709359548408</v>
      </c>
      <c r="C60" s="300">
        <f t="shared" si="1"/>
        <v>5009161.3949305639</v>
      </c>
      <c r="D60" s="300">
        <f t="shared" si="10"/>
        <v>121.122</v>
      </c>
      <c r="E60" s="292">
        <f t="shared" si="3"/>
        <v>127.851</v>
      </c>
      <c r="F60" s="292">
        <f t="shared" si="4"/>
        <v>124.48650000000001</v>
      </c>
      <c r="G60" s="302">
        <f t="shared" si="2"/>
        <v>59184993.166761532</v>
      </c>
      <c r="H60" s="302">
        <f t="shared" si="5"/>
        <v>475433.02419749554</v>
      </c>
      <c r="I60" s="293"/>
      <c r="J60" s="292">
        <f t="shared" si="6"/>
        <v>124.48650000000001</v>
      </c>
      <c r="K60" s="302">
        <f t="shared" si="7"/>
        <v>59184993.166761532</v>
      </c>
      <c r="L60" s="300">
        <f t="shared" si="8"/>
        <v>0</v>
      </c>
      <c r="M60" s="163"/>
      <c r="N60" s="163"/>
      <c r="O60" s="45"/>
      <c r="P60" s="45"/>
      <c r="Q60" s="45"/>
      <c r="R60" s="45"/>
      <c r="S60" s="45"/>
      <c r="T60" s="45"/>
      <c r="U60" s="45"/>
    </row>
    <row r="61" spans="1:21">
      <c r="A61" s="292">
        <f t="shared" si="9"/>
        <v>0.99999999999999989</v>
      </c>
      <c r="B61" s="292">
        <f t="shared" si="0"/>
        <v>0.99999999999999989</v>
      </c>
      <c r="C61" s="300">
        <f t="shared" si="1"/>
        <v>5476545.7240808466</v>
      </c>
      <c r="D61" s="300">
        <f t="shared" si="10"/>
        <v>127.851</v>
      </c>
      <c r="E61" s="292">
        <f t="shared" si="3"/>
        <v>134.58000000000001</v>
      </c>
      <c r="F61" s="292">
        <f t="shared" si="4"/>
        <v>131.21550000000002</v>
      </c>
      <c r="G61" s="302">
        <f t="shared" si="2"/>
        <v>61328068.441618942</v>
      </c>
      <c r="H61" s="302">
        <f t="shared" si="5"/>
        <v>467384.32915028278</v>
      </c>
      <c r="I61" s="293"/>
      <c r="J61" s="292">
        <f t="shared" si="6"/>
        <v>131.21550000000002</v>
      </c>
      <c r="K61" s="302">
        <f t="shared" si="7"/>
        <v>61328068.441618942</v>
      </c>
      <c r="L61" s="300">
        <f t="shared" si="8"/>
        <v>0</v>
      </c>
      <c r="M61" s="163"/>
      <c r="N61" s="163"/>
      <c r="O61" s="45"/>
      <c r="P61" s="45"/>
      <c r="Q61" s="45"/>
      <c r="R61" s="45"/>
      <c r="S61" s="45"/>
      <c r="T61" s="45"/>
      <c r="U61" s="45"/>
    </row>
    <row r="62" spans="1:21">
      <c r="A62" s="292"/>
      <c r="B62" s="292"/>
      <c r="C62" s="292"/>
      <c r="D62" s="292"/>
      <c r="E62" s="292"/>
      <c r="F62" s="302"/>
      <c r="G62" s="302">
        <f>SUM(G52:G61)</f>
        <v>537803428.84424329</v>
      </c>
      <c r="H62" s="302">
        <f>SUM(H52:H61)</f>
        <v>5476545.7240808466</v>
      </c>
      <c r="I62" s="293"/>
      <c r="J62" s="292"/>
      <c r="K62" s="302">
        <f>SUM(K52:K61)</f>
        <v>554235789.91102886</v>
      </c>
      <c r="L62" s="302">
        <f>SUM(L52:L61)</f>
        <v>1976053.5132098303</v>
      </c>
      <c r="M62" s="163"/>
      <c r="N62" s="163"/>
      <c r="O62" s="45"/>
      <c r="P62" s="45"/>
      <c r="Q62" s="45"/>
      <c r="R62" s="45"/>
      <c r="S62" s="45"/>
      <c r="T62" s="45"/>
      <c r="U62" s="45"/>
    </row>
    <row r="63" spans="1:21">
      <c r="A63" s="292"/>
      <c r="B63" s="292"/>
      <c r="C63" s="292"/>
      <c r="D63" s="292"/>
      <c r="E63" s="292"/>
      <c r="F63" s="292"/>
      <c r="G63" s="292"/>
      <c r="H63" s="292"/>
      <c r="I63" s="293"/>
      <c r="J63" s="292"/>
      <c r="K63" s="300"/>
      <c r="L63" s="302"/>
      <c r="M63" s="163"/>
      <c r="N63" s="163"/>
      <c r="O63" s="45"/>
      <c r="P63" s="45"/>
      <c r="Q63" s="45"/>
      <c r="R63" s="45"/>
      <c r="S63" s="45"/>
      <c r="T63" s="45"/>
      <c r="U63" s="45"/>
    </row>
    <row r="64" spans="1:21">
      <c r="A64" s="295" t="s">
        <v>30</v>
      </c>
      <c r="B64" s="305">
        <f>E22</f>
        <v>5476545.7240808476</v>
      </c>
      <c r="C64" s="292"/>
      <c r="D64" s="292"/>
      <c r="E64" s="292"/>
      <c r="F64" s="292"/>
      <c r="G64" s="292"/>
      <c r="H64" s="292"/>
      <c r="I64" s="293"/>
      <c r="J64" s="292"/>
      <c r="K64" s="292"/>
      <c r="L64" s="292"/>
      <c r="M64" s="163"/>
      <c r="N64" s="163"/>
      <c r="O64" s="45"/>
      <c r="P64" s="45"/>
      <c r="Q64" s="45"/>
      <c r="R64" s="45"/>
      <c r="S64" s="45"/>
      <c r="T64" s="45"/>
      <c r="U64" s="45"/>
    </row>
    <row r="65" spans="1:21">
      <c r="A65" s="295" t="s">
        <v>37</v>
      </c>
      <c r="B65" s="292">
        <f>G62/H62</f>
        <v>98.201212212923735</v>
      </c>
      <c r="C65" s="292"/>
      <c r="D65" s="292"/>
      <c r="E65" s="292"/>
      <c r="F65" s="292"/>
      <c r="G65" s="292"/>
      <c r="H65" s="292"/>
      <c r="I65" s="293"/>
      <c r="J65" s="292"/>
      <c r="K65" s="292"/>
      <c r="L65" s="292"/>
      <c r="M65" s="163"/>
      <c r="N65" s="163"/>
      <c r="O65" s="45"/>
      <c r="P65" s="45"/>
      <c r="Q65" s="45"/>
      <c r="R65" s="45"/>
      <c r="S65" s="45"/>
      <c r="T65" s="45"/>
      <c r="U65" s="45"/>
    </row>
    <row r="66" spans="1:21">
      <c r="A66" s="295" t="s">
        <v>43</v>
      </c>
      <c r="B66" s="292">
        <v>1</v>
      </c>
      <c r="C66" s="292"/>
      <c r="D66" s="292"/>
      <c r="E66" s="292"/>
      <c r="F66" s="292"/>
      <c r="G66" s="292"/>
      <c r="H66" s="292"/>
      <c r="I66" s="293"/>
      <c r="J66" s="292"/>
      <c r="K66" s="292"/>
      <c r="L66" s="292"/>
      <c r="M66" s="163"/>
      <c r="N66" s="163"/>
      <c r="O66" s="45"/>
      <c r="P66" s="45"/>
      <c r="Q66" s="45"/>
      <c r="R66" s="45"/>
      <c r="S66" s="45"/>
      <c r="T66" s="45"/>
      <c r="U66" s="45"/>
    </row>
    <row r="67" spans="1:21">
      <c r="A67" s="295" t="s">
        <v>44</v>
      </c>
      <c r="B67" s="302">
        <f>G62*360</f>
        <v>193609234383.92758</v>
      </c>
      <c r="C67" s="292"/>
      <c r="D67" s="292"/>
      <c r="E67" s="292"/>
      <c r="F67" s="292"/>
      <c r="G67" s="292"/>
      <c r="H67" s="292"/>
      <c r="I67" s="293"/>
      <c r="J67" s="292"/>
      <c r="K67" s="292"/>
      <c r="L67" s="292"/>
      <c r="M67" s="163"/>
      <c r="N67" s="163"/>
      <c r="O67" s="45"/>
      <c r="P67" s="45"/>
      <c r="Q67" s="45"/>
      <c r="R67" s="45"/>
      <c r="S67" s="45"/>
      <c r="T67" s="45"/>
      <c r="U67" s="45"/>
    </row>
    <row r="68" spans="1:21">
      <c r="A68" s="295" t="s">
        <v>40</v>
      </c>
      <c r="B68" s="292">
        <f>K62/H62</f>
        <v>101.20170958748797</v>
      </c>
      <c r="C68" s="292"/>
      <c r="D68" s="292"/>
      <c r="E68" s="292"/>
      <c r="F68" s="292"/>
      <c r="G68" s="292"/>
      <c r="H68" s="292"/>
      <c r="I68" s="293"/>
      <c r="J68" s="292"/>
      <c r="K68" s="292"/>
      <c r="L68" s="292"/>
      <c r="M68" s="163"/>
      <c r="N68" s="163"/>
      <c r="O68" s="45"/>
      <c r="P68" s="45"/>
      <c r="Q68" s="45"/>
      <c r="R68" s="45"/>
      <c r="S68" s="45"/>
      <c r="T68" s="45"/>
      <c r="U68" s="45"/>
    </row>
    <row r="69" spans="1:21">
      <c r="A69" s="295" t="s">
        <v>42</v>
      </c>
      <c r="B69" s="306">
        <f>K62/G62-1</f>
        <v>3.0554585905298692E-2</v>
      </c>
      <c r="C69" s="292"/>
      <c r="D69" s="292"/>
      <c r="E69" s="292"/>
      <c r="F69" s="292"/>
      <c r="G69" s="292"/>
      <c r="H69" s="292"/>
      <c r="I69" s="293"/>
      <c r="J69" s="292"/>
      <c r="K69" s="292"/>
      <c r="L69" s="292"/>
      <c r="M69" s="163"/>
      <c r="N69" s="163"/>
      <c r="O69" s="45"/>
      <c r="P69" s="45"/>
      <c r="Q69" s="45"/>
      <c r="R69" s="45"/>
      <c r="S69" s="45"/>
      <c r="T69" s="45"/>
      <c r="U69" s="45"/>
    </row>
    <row r="70" spans="1:21">
      <c r="A70" s="163"/>
      <c r="B70" s="228"/>
      <c r="C70" s="163"/>
      <c r="D70" s="163"/>
      <c r="E70" s="163"/>
      <c r="F70" s="163"/>
      <c r="G70" s="163"/>
      <c r="H70" s="163"/>
      <c r="I70" s="293"/>
      <c r="J70" s="163"/>
      <c r="K70" s="163"/>
      <c r="L70" s="163"/>
      <c r="M70" s="163"/>
      <c r="N70" s="163"/>
      <c r="O70" s="45"/>
      <c r="P70" s="45"/>
      <c r="Q70" s="45"/>
      <c r="R70" s="45"/>
      <c r="S70" s="45"/>
      <c r="T70" s="45"/>
      <c r="U70" s="45"/>
    </row>
    <row r="71" spans="1:21">
      <c r="A71" s="163"/>
      <c r="B71" s="228"/>
      <c r="C71" s="163"/>
      <c r="D71" s="163"/>
      <c r="E71" s="163"/>
      <c r="F71" s="163"/>
      <c r="G71" s="163"/>
      <c r="H71" s="163"/>
      <c r="I71" s="293"/>
      <c r="J71" s="163"/>
      <c r="K71" s="163"/>
      <c r="L71" s="163"/>
      <c r="M71" s="163"/>
      <c r="N71" s="163"/>
      <c r="O71" s="45"/>
      <c r="P71" s="45"/>
      <c r="Q71" s="45"/>
      <c r="R71" s="45"/>
      <c r="S71" s="45"/>
      <c r="T71" s="45"/>
      <c r="U71" s="45"/>
    </row>
    <row r="72" spans="1:21">
      <c r="A72" s="291" t="s">
        <v>38</v>
      </c>
      <c r="B72" s="292"/>
      <c r="C72" s="292"/>
      <c r="D72" s="292"/>
      <c r="E72" s="292"/>
      <c r="F72" s="292"/>
      <c r="G72" s="292"/>
      <c r="H72" s="292"/>
      <c r="I72" s="293"/>
      <c r="J72" s="292"/>
      <c r="K72" s="292"/>
      <c r="L72" s="292"/>
      <c r="M72" s="163"/>
      <c r="N72" s="163"/>
      <c r="O72" s="45"/>
      <c r="P72" s="45"/>
      <c r="Q72" s="45"/>
      <c r="R72" s="45"/>
      <c r="S72" s="45"/>
      <c r="T72" s="45"/>
      <c r="U72" s="45"/>
    </row>
    <row r="73" spans="1:21">
      <c r="A73" s="295" t="s">
        <v>27</v>
      </c>
      <c r="B73" s="296" t="s">
        <v>28</v>
      </c>
      <c r="C73" s="296" t="s">
        <v>33</v>
      </c>
      <c r="D73" s="296" t="s">
        <v>36</v>
      </c>
      <c r="E73" s="296" t="s">
        <v>32</v>
      </c>
      <c r="F73" s="296" t="s">
        <v>35</v>
      </c>
      <c r="G73" s="296" t="s">
        <v>34</v>
      </c>
      <c r="H73" s="296" t="s">
        <v>31</v>
      </c>
      <c r="I73" s="297"/>
      <c r="J73" s="295" t="s">
        <v>40</v>
      </c>
      <c r="K73" s="295" t="s">
        <v>41</v>
      </c>
      <c r="L73" s="295" t="s">
        <v>45</v>
      </c>
      <c r="M73" s="163"/>
      <c r="N73" s="163"/>
      <c r="O73" s="45"/>
      <c r="P73" s="45"/>
      <c r="Q73" s="45"/>
      <c r="R73" s="45"/>
      <c r="S73" s="45"/>
      <c r="T73" s="45"/>
      <c r="U73" s="45"/>
    </row>
    <row r="74" spans="1:21">
      <c r="A74" s="292">
        <v>0.1</v>
      </c>
      <c r="B74" s="292">
        <f t="shared" ref="B74:B83" si="11">A74^$B$12</f>
        <v>0.14233957347347923</v>
      </c>
      <c r="C74" s="300">
        <f>$B$86*B74</f>
        <v>752790.86407704419</v>
      </c>
      <c r="D74" s="292">
        <f>E11</f>
        <v>134.58000000000001</v>
      </c>
      <c r="E74" s="292">
        <f>D74+$D$52*$A$74*$B$88</f>
        <v>141.30900000000003</v>
      </c>
      <c r="F74" s="292">
        <f>AVERAGE(E74,D74)</f>
        <v>137.94450000000001</v>
      </c>
      <c r="G74" s="302">
        <f t="shared" ref="G74:G83" si="12">H74*F74</f>
        <v>103843359.34967582</v>
      </c>
      <c r="H74" s="302">
        <f>C74</f>
        <v>752790.86407704419</v>
      </c>
      <c r="I74" s="293"/>
      <c r="J74" s="292">
        <f>IF(F74&lt;$J$50,$J$50,F74)</f>
        <v>137.94450000000001</v>
      </c>
      <c r="K74" s="302">
        <f>H74*J74</f>
        <v>103843359.34967582</v>
      </c>
      <c r="L74" s="300">
        <f>IF(J74&gt;F74,H74,0)</f>
        <v>0</v>
      </c>
      <c r="M74" s="163"/>
      <c r="N74" s="163"/>
      <c r="O74" s="45"/>
      <c r="P74" s="45"/>
      <c r="Q74" s="45"/>
      <c r="R74" s="45"/>
      <c r="S74" s="45"/>
      <c r="T74" s="45"/>
      <c r="U74" s="45"/>
    </row>
    <row r="75" spans="1:21">
      <c r="A75" s="292">
        <f>A74+0.1</f>
        <v>0.2</v>
      </c>
      <c r="B75" s="292">
        <f t="shared" si="11"/>
        <v>0.25597646249662076</v>
      </c>
      <c r="C75" s="300">
        <f t="shared" ref="C75:C83" si="13">$B$86*B75</f>
        <v>1353781.9292546888</v>
      </c>
      <c r="D75" s="300">
        <f>E74</f>
        <v>141.30900000000003</v>
      </c>
      <c r="E75" s="292">
        <f t="shared" ref="E75:E83" si="14">D75+$D$52*$A$74*$B$88</f>
        <v>148.03800000000004</v>
      </c>
      <c r="F75" s="292">
        <f t="shared" ref="F75:F83" si="15">AVERAGE(E75,E74)</f>
        <v>144.67350000000005</v>
      </c>
      <c r="G75" s="302">
        <f t="shared" si="12"/>
        <v>86947480.867977992</v>
      </c>
      <c r="H75" s="302">
        <f t="shared" ref="H75:H83" si="16">C75-C74</f>
        <v>600991.0651776446</v>
      </c>
      <c r="I75" s="293"/>
      <c r="J75" s="292">
        <f t="shared" ref="J75:J83" si="17">IF(F75&lt;$J$50,$J$50,F75)</f>
        <v>144.67350000000005</v>
      </c>
      <c r="K75" s="302">
        <f t="shared" ref="K75:K83" si="18">H75*J75</f>
        <v>86947480.867977992</v>
      </c>
      <c r="L75" s="300">
        <f t="shared" ref="L75:L83" si="19">IF(J75&gt;F75,H75,0)</f>
        <v>0</v>
      </c>
      <c r="M75" s="163"/>
      <c r="N75" s="163"/>
      <c r="O75" s="45"/>
      <c r="P75" s="45"/>
      <c r="Q75" s="45"/>
      <c r="R75" s="45"/>
      <c r="S75" s="45"/>
      <c r="T75" s="45"/>
      <c r="U75" s="45"/>
    </row>
    <row r="76" spans="1:21">
      <c r="A76" s="292">
        <f t="shared" ref="A76:A83" si="20">A75+0.1</f>
        <v>0.30000000000000004</v>
      </c>
      <c r="B76" s="292">
        <f t="shared" si="11"/>
        <v>0.36082114762978262</v>
      </c>
      <c r="C76" s="300">
        <f t="shared" si="13"/>
        <v>1908273.6927837124</v>
      </c>
      <c r="D76" s="300">
        <f t="shared" ref="D76:D83" si="21">E75</f>
        <v>148.03800000000004</v>
      </c>
      <c r="E76" s="292">
        <f t="shared" si="14"/>
        <v>154.76700000000005</v>
      </c>
      <c r="F76" s="292">
        <f t="shared" si="15"/>
        <v>151.40250000000003</v>
      </c>
      <c r="G76" s="302">
        <f t="shared" si="12"/>
        <v>83951439.22770302</v>
      </c>
      <c r="H76" s="302">
        <f t="shared" si="16"/>
        <v>554491.76352902362</v>
      </c>
      <c r="I76" s="293"/>
      <c r="J76" s="292">
        <f t="shared" si="17"/>
        <v>151.40250000000003</v>
      </c>
      <c r="K76" s="302">
        <f t="shared" si="18"/>
        <v>83951439.22770302</v>
      </c>
      <c r="L76" s="300">
        <f t="shared" si="19"/>
        <v>0</v>
      </c>
      <c r="M76" s="163"/>
      <c r="N76" s="163"/>
      <c r="O76" s="45"/>
      <c r="P76" s="45"/>
      <c r="Q76" s="45"/>
      <c r="R76" s="45"/>
      <c r="S76" s="45"/>
      <c r="T76" s="45"/>
      <c r="U76" s="45"/>
    </row>
    <row r="77" spans="1:21">
      <c r="A77" s="292">
        <f t="shared" si="20"/>
        <v>0.4</v>
      </c>
      <c r="B77" s="292">
        <f t="shared" si="11"/>
        <v>0.4603354341545246</v>
      </c>
      <c r="C77" s="300">
        <f t="shared" si="13"/>
        <v>2434574.5936005116</v>
      </c>
      <c r="D77" s="300">
        <f t="shared" si="21"/>
        <v>154.76700000000005</v>
      </c>
      <c r="E77" s="292">
        <f t="shared" si="14"/>
        <v>161.49600000000007</v>
      </c>
      <c r="F77" s="292">
        <f t="shared" si="15"/>
        <v>158.13150000000007</v>
      </c>
      <c r="G77" s="302">
        <f t="shared" si="12"/>
        <v>83224750.897511706</v>
      </c>
      <c r="H77" s="302">
        <f t="shared" si="16"/>
        <v>526300.90081679914</v>
      </c>
      <c r="I77" s="293"/>
      <c r="J77" s="292">
        <f t="shared" si="17"/>
        <v>158.13150000000007</v>
      </c>
      <c r="K77" s="302">
        <f t="shared" si="18"/>
        <v>83224750.897511706</v>
      </c>
      <c r="L77" s="300">
        <f t="shared" si="19"/>
        <v>0</v>
      </c>
      <c r="M77" s="163"/>
      <c r="N77" s="163"/>
      <c r="O77" s="45"/>
      <c r="P77" s="45"/>
      <c r="Q77" s="45"/>
      <c r="R77" s="45"/>
      <c r="S77" s="45"/>
      <c r="T77" s="45"/>
      <c r="U77" s="45"/>
    </row>
    <row r="78" spans="1:21">
      <c r="A78" s="292">
        <f t="shared" si="20"/>
        <v>0.5</v>
      </c>
      <c r="B78" s="292">
        <f t="shared" si="11"/>
        <v>0.55606508538009936</v>
      </c>
      <c r="C78" s="300">
        <f t="shared" si="13"/>
        <v>2940859.7053605351</v>
      </c>
      <c r="D78" s="300">
        <f t="shared" si="21"/>
        <v>161.49600000000007</v>
      </c>
      <c r="E78" s="292">
        <f t="shared" si="14"/>
        <v>168.22500000000008</v>
      </c>
      <c r="F78" s="292">
        <f t="shared" si="15"/>
        <v>164.86050000000006</v>
      </c>
      <c r="G78" s="302">
        <f t="shared" si="12"/>
        <v>83466416.667313382</v>
      </c>
      <c r="H78" s="302">
        <f t="shared" si="16"/>
        <v>506285.11176002352</v>
      </c>
      <c r="I78" s="293"/>
      <c r="J78" s="292">
        <f t="shared" si="17"/>
        <v>164.86050000000006</v>
      </c>
      <c r="K78" s="302">
        <f t="shared" si="18"/>
        <v>83466416.667313382</v>
      </c>
      <c r="L78" s="300">
        <f t="shared" si="19"/>
        <v>0</v>
      </c>
      <c r="M78" s="163"/>
      <c r="N78" s="163"/>
      <c r="O78" s="45"/>
      <c r="P78" s="45"/>
      <c r="Q78" s="45"/>
      <c r="R78" s="45"/>
      <c r="S78" s="45"/>
      <c r="T78" s="45"/>
      <c r="U78" s="45"/>
    </row>
    <row r="79" spans="1:21">
      <c r="A79" s="292">
        <f t="shared" si="20"/>
        <v>0.6</v>
      </c>
      <c r="B79" s="292">
        <f t="shared" si="11"/>
        <v>0.64888294035426208</v>
      </c>
      <c r="C79" s="300">
        <f t="shared" si="13"/>
        <v>3431745.2092488571</v>
      </c>
      <c r="D79" s="300">
        <f t="shared" si="21"/>
        <v>168.22500000000008</v>
      </c>
      <c r="E79" s="292">
        <f t="shared" si="14"/>
        <v>174.95400000000009</v>
      </c>
      <c r="F79" s="292">
        <f t="shared" si="15"/>
        <v>171.5895000000001</v>
      </c>
      <c r="G79" s="302">
        <f t="shared" si="12"/>
        <v>84230798.169445291</v>
      </c>
      <c r="H79" s="302">
        <f t="shared" si="16"/>
        <v>490885.50388832204</v>
      </c>
      <c r="I79" s="293"/>
      <c r="J79" s="292">
        <f t="shared" si="17"/>
        <v>171.5895000000001</v>
      </c>
      <c r="K79" s="302">
        <f t="shared" si="18"/>
        <v>84230798.169445291</v>
      </c>
      <c r="L79" s="300">
        <f t="shared" si="19"/>
        <v>0</v>
      </c>
      <c r="M79" s="163"/>
      <c r="N79" s="163"/>
      <c r="O79" s="45"/>
      <c r="P79" s="45"/>
      <c r="Q79" s="45"/>
      <c r="R79" s="45"/>
      <c r="S79" s="45"/>
      <c r="T79" s="45"/>
      <c r="U79" s="45"/>
    </row>
    <row r="80" spans="1:21">
      <c r="A80" s="292">
        <f t="shared" si="20"/>
        <v>0.7</v>
      </c>
      <c r="B80" s="292">
        <f t="shared" si="11"/>
        <v>0.73934728987941256</v>
      </c>
      <c r="C80" s="300">
        <f t="shared" si="13"/>
        <v>3910183.7361135897</v>
      </c>
      <c r="D80" s="300">
        <f t="shared" si="21"/>
        <v>174.95400000000009</v>
      </c>
      <c r="E80" s="292">
        <f t="shared" si="14"/>
        <v>181.68300000000011</v>
      </c>
      <c r="F80" s="292">
        <f t="shared" si="15"/>
        <v>178.31850000000009</v>
      </c>
      <c r="G80" s="302">
        <f t="shared" si="12"/>
        <v>85314440.452728868</v>
      </c>
      <c r="H80" s="302">
        <f t="shared" si="16"/>
        <v>478438.52686473262</v>
      </c>
      <c r="I80" s="293"/>
      <c r="J80" s="292">
        <f t="shared" si="17"/>
        <v>178.31850000000009</v>
      </c>
      <c r="K80" s="302">
        <f t="shared" si="18"/>
        <v>85314440.452728868</v>
      </c>
      <c r="L80" s="300">
        <f t="shared" si="19"/>
        <v>0</v>
      </c>
      <c r="M80" s="163"/>
      <c r="N80" s="163"/>
      <c r="O80" s="45"/>
      <c r="P80" s="45"/>
      <c r="Q80" s="45"/>
      <c r="R80" s="45"/>
      <c r="S80" s="45"/>
      <c r="T80" s="45"/>
      <c r="U80" s="45"/>
    </row>
    <row r="81" spans="1:21">
      <c r="A81" s="292">
        <f t="shared" si="20"/>
        <v>0.79999999999999993</v>
      </c>
      <c r="B81" s="292">
        <f t="shared" si="11"/>
        <v>0.82784452082594151</v>
      </c>
      <c r="C81" s="300">
        <f t="shared" si="13"/>
        <v>4378218.769006785</v>
      </c>
      <c r="D81" s="300">
        <f t="shared" si="21"/>
        <v>181.68300000000011</v>
      </c>
      <c r="E81" s="292">
        <f t="shared" si="14"/>
        <v>188.41200000000012</v>
      </c>
      <c r="F81" s="292">
        <f t="shared" si="15"/>
        <v>185.04750000000013</v>
      </c>
      <c r="G81" s="302">
        <f t="shared" si="12"/>
        <v>86608712.749303609</v>
      </c>
      <c r="H81" s="302">
        <f t="shared" si="16"/>
        <v>468035.03289319528</v>
      </c>
      <c r="I81" s="293"/>
      <c r="J81" s="292">
        <f t="shared" si="17"/>
        <v>185.04750000000013</v>
      </c>
      <c r="K81" s="302">
        <f t="shared" si="18"/>
        <v>86608712.749303609</v>
      </c>
      <c r="L81" s="300">
        <f t="shared" si="19"/>
        <v>0</v>
      </c>
      <c r="M81" s="163"/>
      <c r="N81" s="163"/>
      <c r="O81" s="45"/>
      <c r="P81" s="45"/>
      <c r="Q81" s="45"/>
      <c r="R81" s="45"/>
      <c r="S81" s="45"/>
      <c r="T81" s="45"/>
      <c r="U81" s="45"/>
    </row>
    <row r="82" spans="1:21">
      <c r="A82" s="292">
        <f t="shared" si="20"/>
        <v>0.89999999999999991</v>
      </c>
      <c r="B82" s="292">
        <f t="shared" si="11"/>
        <v>0.91465709359548408</v>
      </c>
      <c r="C82" s="300">
        <f t="shared" si="13"/>
        <v>4837344.1553850966</v>
      </c>
      <c r="D82" s="300">
        <f t="shared" si="21"/>
        <v>188.41200000000012</v>
      </c>
      <c r="E82" s="292">
        <f t="shared" si="14"/>
        <v>195.14100000000013</v>
      </c>
      <c r="F82" s="292">
        <f t="shared" si="15"/>
        <v>191.77650000000011</v>
      </c>
      <c r="G82" s="302">
        <f t="shared" si="12"/>
        <v>88049459.660780311</v>
      </c>
      <c r="H82" s="302">
        <f t="shared" si="16"/>
        <v>459125.38637831155</v>
      </c>
      <c r="I82" s="293"/>
      <c r="J82" s="292">
        <f t="shared" si="17"/>
        <v>191.77650000000011</v>
      </c>
      <c r="K82" s="302">
        <f t="shared" si="18"/>
        <v>88049459.660780311</v>
      </c>
      <c r="L82" s="300">
        <f t="shared" si="19"/>
        <v>0</v>
      </c>
      <c r="M82" s="163"/>
      <c r="N82" s="163"/>
      <c r="O82" s="45"/>
      <c r="P82" s="45"/>
      <c r="Q82" s="45"/>
      <c r="R82" s="45"/>
      <c r="S82" s="45"/>
      <c r="T82" s="45"/>
      <c r="U82" s="45"/>
    </row>
    <row r="83" spans="1:21">
      <c r="A83" s="292">
        <f t="shared" si="20"/>
        <v>0.99999999999999989</v>
      </c>
      <c r="B83" s="292">
        <f t="shared" si="11"/>
        <v>0.99999999999999989</v>
      </c>
      <c r="C83" s="300">
        <f t="shared" si="13"/>
        <v>5288696.9217826435</v>
      </c>
      <c r="D83" s="300">
        <f t="shared" si="21"/>
        <v>195.14100000000013</v>
      </c>
      <c r="E83" s="292">
        <f t="shared" si="14"/>
        <v>201.87000000000015</v>
      </c>
      <c r="F83" s="292">
        <f t="shared" si="15"/>
        <v>198.50550000000015</v>
      </c>
      <c r="G83" s="302">
        <f t="shared" si="12"/>
        <v>89596006.570128337</v>
      </c>
      <c r="H83" s="302">
        <f t="shared" si="16"/>
        <v>451352.76639754698</v>
      </c>
      <c r="I83" s="293"/>
      <c r="J83" s="292">
        <f t="shared" si="17"/>
        <v>198.50550000000015</v>
      </c>
      <c r="K83" s="302">
        <f t="shared" si="18"/>
        <v>89596006.570128337</v>
      </c>
      <c r="L83" s="300">
        <f t="shared" si="19"/>
        <v>0</v>
      </c>
      <c r="M83" s="163"/>
      <c r="N83" s="163"/>
      <c r="O83" s="45"/>
      <c r="P83" s="45"/>
      <c r="Q83" s="45"/>
      <c r="R83" s="45"/>
      <c r="S83" s="45"/>
      <c r="T83" s="45"/>
      <c r="U83" s="45"/>
    </row>
    <row r="84" spans="1:21">
      <c r="A84" s="292"/>
      <c r="B84" s="292"/>
      <c r="C84" s="292"/>
      <c r="D84" s="292"/>
      <c r="E84" s="292"/>
      <c r="F84" s="302"/>
      <c r="G84" s="302">
        <f>SUM(G74:G83)</f>
        <v>875232864.61256838</v>
      </c>
      <c r="H84" s="302">
        <f>SUM(H74:H83)</f>
        <v>5288696.9217826435</v>
      </c>
      <c r="I84" s="293"/>
      <c r="J84" s="292"/>
      <c r="K84" s="302">
        <f>SUM(K74:K83)</f>
        <v>875232864.61256838</v>
      </c>
      <c r="L84" s="302">
        <f>SUM(L74:L83)</f>
        <v>0</v>
      </c>
      <c r="M84" s="163"/>
      <c r="N84" s="163"/>
      <c r="O84" s="45"/>
      <c r="P84" s="45"/>
      <c r="Q84" s="45"/>
      <c r="R84" s="45"/>
      <c r="S84" s="45"/>
      <c r="T84" s="45"/>
      <c r="U84" s="45"/>
    </row>
    <row r="85" spans="1:21">
      <c r="A85" s="292" t="s">
        <v>29</v>
      </c>
      <c r="B85" s="292">
        <f>B12</f>
        <v>0.84667433988883134</v>
      </c>
      <c r="C85" s="292"/>
      <c r="D85" s="292"/>
      <c r="E85" s="292"/>
      <c r="F85" s="292"/>
      <c r="G85" s="292"/>
      <c r="H85" s="292"/>
      <c r="I85" s="293"/>
      <c r="J85" s="292"/>
      <c r="K85" s="300"/>
      <c r="L85" s="302"/>
      <c r="M85" s="163"/>
      <c r="N85" s="163"/>
      <c r="O85" s="45"/>
      <c r="P85" s="45"/>
      <c r="Q85" s="45"/>
      <c r="R85" s="45"/>
      <c r="S85" s="45"/>
      <c r="T85" s="45"/>
      <c r="U85" s="45"/>
    </row>
    <row r="86" spans="1:21">
      <c r="A86" s="295" t="s">
        <v>30</v>
      </c>
      <c r="B86" s="305">
        <f>F22</f>
        <v>5288696.9217826445</v>
      </c>
      <c r="C86" s="292"/>
      <c r="D86" s="292"/>
      <c r="E86" s="292"/>
      <c r="F86" s="292"/>
      <c r="G86" s="292"/>
      <c r="H86" s="292"/>
      <c r="I86" s="293"/>
      <c r="J86" s="292"/>
      <c r="K86" s="292"/>
      <c r="L86" s="292"/>
      <c r="M86" s="163"/>
      <c r="N86" s="163"/>
      <c r="O86" s="45"/>
      <c r="P86" s="45"/>
      <c r="Q86" s="45"/>
      <c r="R86" s="45"/>
      <c r="S86" s="45"/>
      <c r="T86" s="45"/>
      <c r="U86" s="45"/>
    </row>
    <row r="87" spans="1:21">
      <c r="A87" s="295" t="s">
        <v>37</v>
      </c>
      <c r="B87" s="292">
        <f>G84/H84</f>
        <v>165.49121221292381</v>
      </c>
      <c r="C87" s="292"/>
      <c r="D87" s="292"/>
      <c r="E87" s="292"/>
      <c r="F87" s="292"/>
      <c r="G87" s="292"/>
      <c r="H87" s="292"/>
      <c r="I87" s="293"/>
      <c r="J87" s="292"/>
      <c r="K87" s="292"/>
      <c r="L87" s="292"/>
      <c r="M87" s="163"/>
      <c r="N87" s="163"/>
      <c r="O87" s="45"/>
      <c r="P87" s="45"/>
      <c r="Q87" s="45"/>
      <c r="R87" s="45"/>
      <c r="S87" s="45"/>
      <c r="T87" s="45"/>
      <c r="U87" s="45"/>
    </row>
    <row r="88" spans="1:21">
      <c r="A88" s="295" t="s">
        <v>43</v>
      </c>
      <c r="B88" s="292">
        <v>1</v>
      </c>
      <c r="C88" s="292"/>
      <c r="D88" s="292"/>
      <c r="E88" s="292"/>
      <c r="F88" s="292"/>
      <c r="G88" s="292"/>
      <c r="H88" s="292"/>
      <c r="I88" s="293"/>
      <c r="J88" s="292"/>
      <c r="K88" s="292"/>
      <c r="L88" s="292"/>
      <c r="M88" s="163"/>
      <c r="N88" s="163"/>
      <c r="O88" s="45"/>
      <c r="P88" s="45"/>
      <c r="Q88" s="45"/>
      <c r="R88" s="45"/>
      <c r="S88" s="45"/>
      <c r="T88" s="45"/>
      <c r="U88" s="45"/>
    </row>
    <row r="89" spans="1:21">
      <c r="A89" s="295" t="s">
        <v>44</v>
      </c>
      <c r="B89" s="302">
        <f>G84*360</f>
        <v>315083831260.5246</v>
      </c>
      <c r="C89" s="292"/>
      <c r="D89" s="292"/>
      <c r="E89" s="292"/>
      <c r="F89" s="292"/>
      <c r="G89" s="292"/>
      <c r="H89" s="292"/>
      <c r="I89" s="293"/>
      <c r="J89" s="292"/>
      <c r="K89" s="292"/>
      <c r="L89" s="292"/>
      <c r="M89" s="163"/>
      <c r="N89" s="163"/>
      <c r="O89" s="45"/>
      <c r="P89" s="45"/>
      <c r="Q89" s="45"/>
      <c r="R89" s="45"/>
      <c r="S89" s="45"/>
      <c r="T89" s="45"/>
      <c r="U89" s="45"/>
    </row>
    <row r="90" spans="1:21">
      <c r="A90" s="295" t="s">
        <v>40</v>
      </c>
      <c r="B90" s="292">
        <f>K84/H84</f>
        <v>165.49121221292381</v>
      </c>
      <c r="C90" s="292"/>
      <c r="D90" s="292"/>
      <c r="E90" s="292"/>
      <c r="F90" s="292"/>
      <c r="G90" s="292"/>
      <c r="H90" s="292"/>
      <c r="I90" s="293"/>
      <c r="J90" s="292"/>
      <c r="K90" s="292"/>
      <c r="L90" s="292"/>
      <c r="M90" s="163"/>
      <c r="N90" s="163"/>
      <c r="O90" s="45"/>
      <c r="P90" s="45"/>
      <c r="Q90" s="45"/>
      <c r="R90" s="45"/>
      <c r="S90" s="45"/>
      <c r="T90" s="45"/>
      <c r="U90" s="45"/>
    </row>
    <row r="91" spans="1:21">
      <c r="A91" s="295" t="s">
        <v>42</v>
      </c>
      <c r="B91" s="306">
        <f>K84/G84-1</f>
        <v>0</v>
      </c>
      <c r="C91" s="292"/>
      <c r="D91" s="292"/>
      <c r="E91" s="292"/>
      <c r="F91" s="292"/>
      <c r="G91" s="292"/>
      <c r="H91" s="292"/>
      <c r="I91" s="293"/>
      <c r="J91" s="292"/>
      <c r="K91" s="292"/>
      <c r="L91" s="292"/>
      <c r="M91" s="163"/>
      <c r="N91" s="163"/>
      <c r="O91" s="45"/>
      <c r="P91" s="45"/>
      <c r="Q91" s="45"/>
      <c r="R91" s="45"/>
      <c r="S91" s="45"/>
      <c r="T91" s="45"/>
      <c r="U91" s="45"/>
    </row>
    <row r="92" spans="1:21">
      <c r="A92" s="163"/>
      <c r="B92" s="163"/>
      <c r="C92" s="163"/>
      <c r="D92" s="163"/>
      <c r="E92" s="163"/>
      <c r="F92" s="163"/>
      <c r="G92" s="163"/>
      <c r="H92" s="163"/>
      <c r="I92" s="293"/>
      <c r="J92" s="163"/>
      <c r="K92" s="163"/>
      <c r="L92" s="163"/>
      <c r="M92" s="163"/>
      <c r="N92" s="163"/>
      <c r="O92" s="45"/>
      <c r="P92" s="45"/>
      <c r="Q92" s="45"/>
      <c r="R92" s="45"/>
      <c r="S92" s="45"/>
      <c r="T92" s="45"/>
      <c r="U92" s="45"/>
    </row>
    <row r="93" spans="1:21">
      <c r="A93" s="163"/>
      <c r="B93" s="163"/>
      <c r="C93" s="163"/>
      <c r="D93" s="163"/>
      <c r="E93" s="163"/>
      <c r="F93" s="163"/>
      <c r="G93" s="163"/>
      <c r="H93" s="163"/>
      <c r="I93" s="293"/>
      <c r="J93" s="163"/>
      <c r="K93" s="163"/>
      <c r="L93" s="163"/>
      <c r="M93" s="163"/>
      <c r="N93" s="163"/>
      <c r="O93" s="45"/>
      <c r="P93" s="45"/>
      <c r="Q93" s="45"/>
      <c r="R93" s="45"/>
      <c r="S93" s="45"/>
      <c r="T93" s="45"/>
      <c r="U93" s="45"/>
    </row>
    <row r="94" spans="1:21">
      <c r="A94" s="291" t="s">
        <v>39</v>
      </c>
      <c r="B94" s="292"/>
      <c r="C94" s="292"/>
      <c r="D94" s="292"/>
      <c r="E94" s="292"/>
      <c r="F94" s="292"/>
      <c r="G94" s="292"/>
      <c r="H94" s="292"/>
      <c r="I94" s="293"/>
      <c r="J94" s="292"/>
      <c r="K94" s="292"/>
      <c r="L94" s="292"/>
      <c r="M94" s="163"/>
      <c r="N94" s="163"/>
      <c r="O94" s="45"/>
      <c r="P94" s="45"/>
      <c r="Q94" s="45"/>
      <c r="R94" s="45"/>
      <c r="S94" s="45"/>
      <c r="T94" s="45"/>
      <c r="U94" s="45"/>
    </row>
    <row r="95" spans="1:21">
      <c r="A95" s="295" t="s">
        <v>27</v>
      </c>
      <c r="B95" s="296" t="s">
        <v>28</v>
      </c>
      <c r="C95" s="296" t="s">
        <v>33</v>
      </c>
      <c r="D95" s="296" t="s">
        <v>36</v>
      </c>
      <c r="E95" s="296" t="s">
        <v>32</v>
      </c>
      <c r="F95" s="296" t="s">
        <v>35</v>
      </c>
      <c r="G95" s="296" t="s">
        <v>34</v>
      </c>
      <c r="H95" s="296" t="s">
        <v>31</v>
      </c>
      <c r="I95" s="297"/>
      <c r="J95" s="295" t="s">
        <v>40</v>
      </c>
      <c r="K95" s="295" t="s">
        <v>41</v>
      </c>
      <c r="L95" s="295" t="s">
        <v>45</v>
      </c>
      <c r="M95" s="163"/>
      <c r="N95" s="163"/>
      <c r="O95" s="45"/>
      <c r="P95" s="45"/>
      <c r="Q95" s="45"/>
      <c r="R95" s="45"/>
      <c r="S95" s="45"/>
      <c r="T95" s="45"/>
      <c r="U95" s="45"/>
    </row>
    <row r="96" spans="1:21">
      <c r="A96" s="292">
        <v>0.1</v>
      </c>
      <c r="B96" s="292">
        <f>A96^$B$12</f>
        <v>0.14233957347347923</v>
      </c>
      <c r="C96" s="300">
        <f>$B$108*B96</f>
        <v>664070.95773674455</v>
      </c>
      <c r="D96" s="292">
        <f>E83</f>
        <v>201.87000000000015</v>
      </c>
      <c r="E96" s="292">
        <f>D96+$D$52*$A$96*$B$110</f>
        <v>215.32800000000015</v>
      </c>
      <c r="F96" s="292">
        <f>AVERAGE(E96,D96)</f>
        <v>208.59900000000016</v>
      </c>
      <c r="G96" s="302">
        <f t="shared" ref="G96:G105" si="22">H96*F96</f>
        <v>138524537.71292728</v>
      </c>
      <c r="H96" s="302">
        <f>C96</f>
        <v>664070.95773674455</v>
      </c>
      <c r="I96" s="293"/>
      <c r="J96" s="292">
        <f>IF(F96&lt;$J$50,$J$50,F96)</f>
        <v>208.59900000000016</v>
      </c>
      <c r="K96" s="302">
        <f>H96*J96</f>
        <v>138524537.71292728</v>
      </c>
      <c r="L96" s="300">
        <f>IF(J96&gt;F96,H96,0)</f>
        <v>0</v>
      </c>
      <c r="M96" s="163"/>
      <c r="N96" s="163"/>
      <c r="O96" s="45"/>
      <c r="P96" s="45"/>
      <c r="Q96" s="45"/>
      <c r="R96" s="45"/>
      <c r="S96" s="45"/>
      <c r="T96" s="45"/>
      <c r="U96" s="45"/>
    </row>
    <row r="97" spans="1:21">
      <c r="A97" s="292">
        <f>A96+0.1</f>
        <v>0.2</v>
      </c>
      <c r="B97" s="292">
        <f t="shared" ref="B97:B105" si="23">A97^$B$12</f>
        <v>0.25597646249662076</v>
      </c>
      <c r="C97" s="300">
        <f t="shared" ref="C97:C105" si="24">$B$108*B97</f>
        <v>1194232.4292538841</v>
      </c>
      <c r="D97" s="300">
        <f>E96</f>
        <v>215.32800000000015</v>
      </c>
      <c r="E97" s="292">
        <f t="shared" ref="E97:E105" si="25">D97+$D$52*$A$96*$B$110</f>
        <v>228.78600000000014</v>
      </c>
      <c r="F97" s="292">
        <f t="shared" ref="F97:F105" si="26">AVERAGE(E97,E96)</f>
        <v>222.05700000000013</v>
      </c>
      <c r="G97" s="302">
        <f t="shared" si="22"/>
        <v>117726065.88068153</v>
      </c>
      <c r="H97" s="302">
        <f t="shared" ref="H97:H105" si="27">C97-C96</f>
        <v>530161.47151713958</v>
      </c>
      <c r="I97" s="293"/>
      <c r="J97" s="292">
        <f t="shared" ref="J97:J105" si="28">IF(F97&lt;$J$50,$J$50,F97)</f>
        <v>222.05700000000013</v>
      </c>
      <c r="K97" s="302">
        <f t="shared" ref="K97:K105" si="29">H97*J97</f>
        <v>117726065.88068153</v>
      </c>
      <c r="L97" s="300">
        <f t="shared" ref="L97:L105" si="30">IF(J97&gt;F97,H97,0)</f>
        <v>0</v>
      </c>
      <c r="M97" s="163"/>
      <c r="N97" s="163"/>
      <c r="O97" s="45"/>
      <c r="P97" s="45"/>
      <c r="Q97" s="45"/>
      <c r="R97" s="45"/>
      <c r="S97" s="45"/>
      <c r="T97" s="45"/>
      <c r="U97" s="45"/>
    </row>
    <row r="98" spans="1:21">
      <c r="A98" s="292">
        <f t="shared" ref="A98:A105" si="31">A97+0.1</f>
        <v>0.30000000000000004</v>
      </c>
      <c r="B98" s="292">
        <f t="shared" si="23"/>
        <v>0.36082114762978262</v>
      </c>
      <c r="C98" s="300">
        <f t="shared" si="24"/>
        <v>1683374.7581998021</v>
      </c>
      <c r="D98" s="300">
        <f t="shared" ref="D98:D105" si="32">E97</f>
        <v>228.78600000000014</v>
      </c>
      <c r="E98" s="292">
        <f t="shared" si="25"/>
        <v>242.24400000000014</v>
      </c>
      <c r="F98" s="292">
        <f t="shared" si="26"/>
        <v>235.51500000000016</v>
      </c>
      <c r="G98" s="302">
        <f t="shared" si="22"/>
        <v>115200355.60169795</v>
      </c>
      <c r="H98" s="302">
        <f t="shared" si="27"/>
        <v>489142.32894591801</v>
      </c>
      <c r="I98" s="293"/>
      <c r="J98" s="292">
        <f t="shared" si="28"/>
        <v>235.51500000000016</v>
      </c>
      <c r="K98" s="302">
        <f t="shared" si="29"/>
        <v>115200355.60169795</v>
      </c>
      <c r="L98" s="300">
        <f t="shared" si="30"/>
        <v>0</v>
      </c>
      <c r="M98" s="163"/>
      <c r="N98" s="163"/>
      <c r="O98" s="45"/>
      <c r="P98" s="45"/>
      <c r="Q98" s="45"/>
      <c r="R98" s="45"/>
      <c r="S98" s="45"/>
      <c r="T98" s="45"/>
      <c r="U98" s="45"/>
    </row>
    <row r="99" spans="1:21">
      <c r="A99" s="292">
        <f t="shared" si="31"/>
        <v>0.4</v>
      </c>
      <c r="B99" s="292">
        <f t="shared" si="23"/>
        <v>0.4603354341545246</v>
      </c>
      <c r="C99" s="300">
        <f t="shared" si="24"/>
        <v>2147648.6487864358</v>
      </c>
      <c r="D99" s="300">
        <f t="shared" si="32"/>
        <v>242.24400000000014</v>
      </c>
      <c r="E99" s="292">
        <f t="shared" si="25"/>
        <v>255.70200000000014</v>
      </c>
      <c r="F99" s="292">
        <f t="shared" si="26"/>
        <v>248.97300000000013</v>
      </c>
      <c r="G99" s="302">
        <f t="shared" si="22"/>
        <v>115591663.361026</v>
      </c>
      <c r="H99" s="302">
        <f t="shared" si="27"/>
        <v>464273.8905866337</v>
      </c>
      <c r="I99" s="293"/>
      <c r="J99" s="292">
        <f t="shared" si="28"/>
        <v>248.97300000000013</v>
      </c>
      <c r="K99" s="302">
        <f t="shared" si="29"/>
        <v>115591663.361026</v>
      </c>
      <c r="L99" s="300">
        <f t="shared" si="30"/>
        <v>0</v>
      </c>
      <c r="M99" s="163"/>
      <c r="N99" s="163"/>
      <c r="O99" s="45"/>
      <c r="P99" s="45"/>
      <c r="Q99" s="45"/>
      <c r="R99" s="45"/>
      <c r="S99" s="45"/>
      <c r="T99" s="45"/>
      <c r="U99" s="45"/>
    </row>
    <row r="100" spans="1:21">
      <c r="A100" s="292">
        <f t="shared" si="31"/>
        <v>0.5</v>
      </c>
      <c r="B100" s="292">
        <f t="shared" si="23"/>
        <v>0.55606508538009936</v>
      </c>
      <c r="C100" s="300">
        <f t="shared" si="24"/>
        <v>2594265.7041973583</v>
      </c>
      <c r="D100" s="300">
        <f t="shared" si="32"/>
        <v>255.70200000000014</v>
      </c>
      <c r="E100" s="292">
        <f t="shared" si="25"/>
        <v>269.16000000000014</v>
      </c>
      <c r="F100" s="292">
        <f t="shared" si="26"/>
        <v>262.43100000000015</v>
      </c>
      <c r="G100" s="302">
        <f t="shared" si="22"/>
        <v>117206160.46854387</v>
      </c>
      <c r="H100" s="302">
        <f t="shared" si="27"/>
        <v>446617.0554109225</v>
      </c>
      <c r="I100" s="293"/>
      <c r="J100" s="292">
        <f t="shared" si="28"/>
        <v>262.43100000000015</v>
      </c>
      <c r="K100" s="302">
        <f t="shared" si="29"/>
        <v>117206160.46854387</v>
      </c>
      <c r="L100" s="300">
        <f t="shared" si="30"/>
        <v>0</v>
      </c>
      <c r="M100" s="163"/>
      <c r="N100" s="163"/>
      <c r="O100" s="45"/>
      <c r="P100" s="45"/>
      <c r="Q100" s="45"/>
      <c r="R100" s="45"/>
      <c r="S100" s="45"/>
      <c r="T100" s="45"/>
      <c r="U100" s="45"/>
    </row>
    <row r="101" spans="1:21">
      <c r="A101" s="292">
        <f t="shared" si="31"/>
        <v>0.6</v>
      </c>
      <c r="B101" s="292">
        <f t="shared" si="23"/>
        <v>0.64888294035426208</v>
      </c>
      <c r="C101" s="300">
        <f t="shared" si="24"/>
        <v>3027298.0671842187</v>
      </c>
      <c r="D101" s="300">
        <f t="shared" si="32"/>
        <v>269.16000000000014</v>
      </c>
      <c r="E101" s="292">
        <f t="shared" si="25"/>
        <v>282.61800000000017</v>
      </c>
      <c r="F101" s="292">
        <f t="shared" si="26"/>
        <v>275.88900000000012</v>
      </c>
      <c r="G101" s="302">
        <f t="shared" si="22"/>
        <v>119468865.59208196</v>
      </c>
      <c r="H101" s="302">
        <f t="shared" si="27"/>
        <v>433032.36298686033</v>
      </c>
      <c r="I101" s="293"/>
      <c r="J101" s="292">
        <f t="shared" si="28"/>
        <v>275.88900000000012</v>
      </c>
      <c r="K101" s="302">
        <f t="shared" si="29"/>
        <v>119468865.59208196</v>
      </c>
      <c r="L101" s="300">
        <f t="shared" si="30"/>
        <v>0</v>
      </c>
      <c r="M101" s="163"/>
      <c r="N101" s="163"/>
      <c r="O101" s="45"/>
      <c r="P101" s="45"/>
      <c r="Q101" s="45"/>
      <c r="R101" s="45"/>
      <c r="S101" s="45"/>
      <c r="T101" s="45"/>
      <c r="U101" s="45"/>
    </row>
    <row r="102" spans="1:21">
      <c r="A102" s="292">
        <f t="shared" si="31"/>
        <v>0.7</v>
      </c>
      <c r="B102" s="292">
        <f t="shared" si="23"/>
        <v>0.73934728987941256</v>
      </c>
      <c r="C102" s="300">
        <f t="shared" si="24"/>
        <v>3449350.387310016</v>
      </c>
      <c r="D102" s="300">
        <f t="shared" si="32"/>
        <v>282.61800000000017</v>
      </c>
      <c r="E102" s="292">
        <f t="shared" si="25"/>
        <v>296.07600000000019</v>
      </c>
      <c r="F102" s="292">
        <f t="shared" si="26"/>
        <v>289.34700000000021</v>
      </c>
      <c r="G102" s="302">
        <f t="shared" si="22"/>
        <v>122119572.67143916</v>
      </c>
      <c r="H102" s="302">
        <f t="shared" si="27"/>
        <v>422052.3201257973</v>
      </c>
      <c r="I102" s="293"/>
      <c r="J102" s="292">
        <f t="shared" si="28"/>
        <v>289.34700000000021</v>
      </c>
      <c r="K102" s="302">
        <f t="shared" si="29"/>
        <v>122119572.67143916</v>
      </c>
      <c r="L102" s="300">
        <f t="shared" si="30"/>
        <v>0</v>
      </c>
      <c r="M102" s="163"/>
      <c r="N102" s="163"/>
      <c r="O102" s="45"/>
      <c r="P102" s="45"/>
      <c r="Q102" s="45"/>
      <c r="R102" s="45"/>
      <c r="S102" s="45"/>
      <c r="T102" s="45"/>
      <c r="U102" s="45"/>
    </row>
    <row r="103" spans="1:21">
      <c r="A103" s="292">
        <f t="shared" si="31"/>
        <v>0.79999999999999993</v>
      </c>
      <c r="B103" s="292">
        <f t="shared" si="23"/>
        <v>0.82784452082594151</v>
      </c>
      <c r="C103" s="300">
        <f t="shared" si="24"/>
        <v>3862225.3136400511</v>
      </c>
      <c r="D103" s="300">
        <f t="shared" si="32"/>
        <v>296.07600000000019</v>
      </c>
      <c r="E103" s="292">
        <f t="shared" si="25"/>
        <v>309.53400000000022</v>
      </c>
      <c r="F103" s="292">
        <f t="shared" si="26"/>
        <v>302.80500000000018</v>
      </c>
      <c r="G103" s="302">
        <f t="shared" si="22"/>
        <v>125020592.06736635</v>
      </c>
      <c r="H103" s="302">
        <f t="shared" si="27"/>
        <v>412874.92633003509</v>
      </c>
      <c r="I103" s="293"/>
      <c r="J103" s="292">
        <f t="shared" si="28"/>
        <v>302.80500000000018</v>
      </c>
      <c r="K103" s="302">
        <f t="shared" si="29"/>
        <v>125020592.06736635</v>
      </c>
      <c r="L103" s="300">
        <f t="shared" si="30"/>
        <v>0</v>
      </c>
      <c r="M103" s="163"/>
      <c r="N103" s="163"/>
      <c r="O103" s="45"/>
      <c r="P103" s="45"/>
      <c r="Q103" s="45"/>
      <c r="R103" s="45"/>
      <c r="S103" s="45"/>
      <c r="T103" s="45"/>
      <c r="U103" s="45"/>
    </row>
    <row r="104" spans="1:21">
      <c r="A104" s="292">
        <f t="shared" si="31"/>
        <v>0.89999999999999991</v>
      </c>
      <c r="B104" s="292">
        <f t="shared" si="23"/>
        <v>0.91465709359548408</v>
      </c>
      <c r="C104" s="300">
        <f t="shared" si="24"/>
        <v>4267240.6367567964</v>
      </c>
      <c r="D104" s="300">
        <f t="shared" si="32"/>
        <v>309.53400000000022</v>
      </c>
      <c r="E104" s="292">
        <f t="shared" si="25"/>
        <v>322.99200000000025</v>
      </c>
      <c r="F104" s="292">
        <f t="shared" si="26"/>
        <v>316.26300000000026</v>
      </c>
      <c r="G104" s="302">
        <f t="shared" si="22"/>
        <v>128091361.13487133</v>
      </c>
      <c r="H104" s="302">
        <f t="shared" si="27"/>
        <v>405015.32311674533</v>
      </c>
      <c r="I104" s="293"/>
      <c r="J104" s="292">
        <f t="shared" si="28"/>
        <v>316.26300000000026</v>
      </c>
      <c r="K104" s="302">
        <f t="shared" si="29"/>
        <v>128091361.13487133</v>
      </c>
      <c r="L104" s="300">
        <f t="shared" si="30"/>
        <v>0</v>
      </c>
      <c r="M104" s="163"/>
      <c r="N104" s="163"/>
      <c r="O104" s="45"/>
      <c r="P104" s="45"/>
      <c r="Q104" s="45"/>
      <c r="R104" s="45"/>
      <c r="S104" s="45"/>
      <c r="T104" s="45"/>
      <c r="U104" s="45"/>
    </row>
    <row r="105" spans="1:21">
      <c r="A105" s="292">
        <f t="shared" si="31"/>
        <v>0.99999999999999989</v>
      </c>
      <c r="B105" s="292">
        <f t="shared" si="23"/>
        <v>0.99999999999999989</v>
      </c>
      <c r="C105" s="300">
        <f t="shared" si="24"/>
        <v>4665399.3793263296</v>
      </c>
      <c r="D105" s="300">
        <f t="shared" si="32"/>
        <v>322.99200000000025</v>
      </c>
      <c r="E105" s="292">
        <f t="shared" si="25"/>
        <v>336.45000000000027</v>
      </c>
      <c r="F105" s="292">
        <f t="shared" si="26"/>
        <v>329.72100000000023</v>
      </c>
      <c r="G105" s="302">
        <f t="shared" si="22"/>
        <v>131281298.75876914</v>
      </c>
      <c r="H105" s="302">
        <f t="shared" si="27"/>
        <v>398158.74256953318</v>
      </c>
      <c r="I105" s="293"/>
      <c r="J105" s="292">
        <f t="shared" si="28"/>
        <v>329.72100000000023</v>
      </c>
      <c r="K105" s="302">
        <f t="shared" si="29"/>
        <v>131281298.75876914</v>
      </c>
      <c r="L105" s="300">
        <f t="shared" si="30"/>
        <v>0</v>
      </c>
      <c r="M105" s="163"/>
      <c r="N105" s="163"/>
      <c r="O105" s="45"/>
      <c r="P105" s="45"/>
      <c r="Q105" s="45"/>
      <c r="R105" s="45"/>
      <c r="S105" s="45"/>
      <c r="T105" s="45"/>
      <c r="U105" s="45"/>
    </row>
    <row r="106" spans="1:21">
      <c r="A106" s="292"/>
      <c r="B106" s="292"/>
      <c r="C106" s="292"/>
      <c r="D106" s="292"/>
      <c r="E106" s="292"/>
      <c r="F106" s="302"/>
      <c r="G106" s="302">
        <f>SUM(G96:G105)</f>
        <v>1230230473.2494044</v>
      </c>
      <c r="H106" s="302">
        <f>SUM(H96:H105)</f>
        <v>4665399.3793263296</v>
      </c>
      <c r="I106" s="293"/>
      <c r="J106" s="292"/>
      <c r="K106" s="302">
        <f>SUM(K96:K105)</f>
        <v>1230230473.2494044</v>
      </c>
      <c r="L106" s="302">
        <f>SUM(L96:L105)</f>
        <v>0</v>
      </c>
      <c r="M106" s="163"/>
      <c r="N106" s="163"/>
      <c r="O106" s="45"/>
      <c r="P106" s="45"/>
      <c r="Q106" s="45"/>
      <c r="R106" s="45"/>
      <c r="S106" s="45"/>
      <c r="T106" s="45"/>
      <c r="U106" s="45"/>
    </row>
    <row r="107" spans="1:21">
      <c r="A107" s="292" t="s">
        <v>29</v>
      </c>
      <c r="B107" s="292">
        <f>B85</f>
        <v>0.84667433988883134</v>
      </c>
      <c r="C107" s="292"/>
      <c r="D107" s="292"/>
      <c r="E107" s="292"/>
      <c r="F107" s="292"/>
      <c r="G107" s="292"/>
      <c r="H107" s="292"/>
      <c r="I107" s="293"/>
      <c r="J107" s="292"/>
      <c r="K107" s="300"/>
      <c r="L107" s="302"/>
      <c r="M107" s="163"/>
      <c r="N107" s="163"/>
      <c r="O107" s="45"/>
      <c r="P107" s="45"/>
      <c r="Q107" s="45"/>
      <c r="R107" s="45"/>
      <c r="S107" s="45"/>
      <c r="T107" s="45"/>
      <c r="U107" s="45"/>
    </row>
    <row r="108" spans="1:21">
      <c r="A108" s="295" t="s">
        <v>30</v>
      </c>
      <c r="B108" s="305">
        <f>G22</f>
        <v>4665399.3793263305</v>
      </c>
      <c r="C108" s="292"/>
      <c r="D108" s="292"/>
      <c r="E108" s="292"/>
      <c r="F108" s="292"/>
      <c r="G108" s="292"/>
      <c r="H108" s="292"/>
      <c r="I108" s="293"/>
      <c r="J108" s="292"/>
      <c r="K108" s="292"/>
      <c r="L108" s="292"/>
      <c r="M108" s="163"/>
      <c r="N108" s="163"/>
      <c r="O108" s="45"/>
      <c r="P108" s="45"/>
      <c r="Q108" s="45"/>
      <c r="R108" s="45"/>
      <c r="S108" s="45"/>
      <c r="T108" s="45"/>
      <c r="U108" s="45"/>
    </row>
    <row r="109" spans="1:21">
      <c r="A109" s="295" t="s">
        <v>37</v>
      </c>
      <c r="B109" s="292">
        <f>G106/H106</f>
        <v>263.69242442584761</v>
      </c>
      <c r="C109" s="292"/>
      <c r="D109" s="292"/>
      <c r="E109" s="292"/>
      <c r="F109" s="292"/>
      <c r="G109" s="292"/>
      <c r="H109" s="292"/>
      <c r="I109" s="293"/>
      <c r="J109" s="292"/>
      <c r="K109" s="292"/>
      <c r="L109" s="292"/>
      <c r="M109" s="163"/>
      <c r="N109" s="163"/>
      <c r="O109" s="45"/>
      <c r="P109" s="45"/>
      <c r="Q109" s="45"/>
      <c r="R109" s="45"/>
      <c r="S109" s="45"/>
      <c r="T109" s="45"/>
      <c r="U109" s="45"/>
    </row>
    <row r="110" spans="1:21">
      <c r="A110" s="295" t="s">
        <v>43</v>
      </c>
      <c r="B110" s="292">
        <v>2</v>
      </c>
      <c r="C110" s="292"/>
      <c r="D110" s="292"/>
      <c r="E110" s="292"/>
      <c r="F110" s="292"/>
      <c r="G110" s="292"/>
      <c r="H110" s="292"/>
      <c r="I110" s="293"/>
      <c r="J110" s="292"/>
      <c r="K110" s="292"/>
      <c r="L110" s="292"/>
      <c r="M110" s="163"/>
      <c r="N110" s="163"/>
      <c r="O110" s="45"/>
      <c r="P110" s="45"/>
      <c r="Q110" s="45"/>
      <c r="R110" s="45"/>
      <c r="S110" s="45"/>
      <c r="T110" s="45"/>
      <c r="U110" s="45"/>
    </row>
    <row r="111" spans="1:21">
      <c r="A111" s="295" t="s">
        <v>44</v>
      </c>
      <c r="B111" s="302">
        <f>G106*360</f>
        <v>442882970369.78558</v>
      </c>
      <c r="C111" s="292"/>
      <c r="D111" s="292"/>
      <c r="E111" s="292"/>
      <c r="F111" s="292"/>
      <c r="G111" s="292"/>
      <c r="H111" s="292"/>
      <c r="I111" s="293"/>
      <c r="J111" s="292"/>
      <c r="K111" s="292"/>
      <c r="L111" s="292"/>
      <c r="M111" s="163"/>
      <c r="N111" s="163"/>
      <c r="O111" s="45"/>
      <c r="P111" s="45"/>
      <c r="Q111" s="45"/>
      <c r="R111" s="45"/>
      <c r="S111" s="45"/>
      <c r="T111" s="45"/>
      <c r="U111" s="45"/>
    </row>
    <row r="112" spans="1:21">
      <c r="A112" s="295" t="s">
        <v>40</v>
      </c>
      <c r="B112" s="292">
        <f>K106/H106</f>
        <v>263.69242442584761</v>
      </c>
      <c r="C112" s="292"/>
      <c r="D112" s="292"/>
      <c r="E112" s="292"/>
      <c r="F112" s="292"/>
      <c r="G112" s="292"/>
      <c r="H112" s="292"/>
      <c r="I112" s="293"/>
      <c r="J112" s="292"/>
      <c r="K112" s="292"/>
      <c r="L112" s="292"/>
      <c r="M112" s="163"/>
      <c r="N112" s="163"/>
      <c r="O112" s="45"/>
      <c r="P112" s="45"/>
      <c r="Q112" s="45"/>
      <c r="R112" s="45"/>
      <c r="S112" s="45"/>
      <c r="T112" s="45"/>
      <c r="U112" s="45"/>
    </row>
    <row r="113" spans="1:21">
      <c r="A113" s="295" t="s">
        <v>42</v>
      </c>
      <c r="B113" s="306">
        <f>K106/G106-1</f>
        <v>0</v>
      </c>
      <c r="C113" s="292"/>
      <c r="D113" s="292"/>
      <c r="E113" s="292"/>
      <c r="F113" s="292"/>
      <c r="G113" s="292"/>
      <c r="H113" s="292"/>
      <c r="I113" s="293"/>
      <c r="J113" s="292"/>
      <c r="K113" s="292"/>
      <c r="L113" s="292"/>
      <c r="M113" s="163"/>
      <c r="N113" s="163"/>
      <c r="O113" s="45"/>
      <c r="P113" s="45"/>
      <c r="Q113" s="45"/>
      <c r="R113" s="45"/>
      <c r="S113" s="45"/>
      <c r="T113" s="45"/>
      <c r="U113" s="45"/>
    </row>
    <row r="114" spans="1:21">
      <c r="A114" s="163"/>
      <c r="B114" s="163"/>
      <c r="C114" s="163"/>
      <c r="D114" s="163"/>
      <c r="E114" s="163"/>
      <c r="F114" s="163"/>
      <c r="G114" s="163"/>
      <c r="H114" s="163"/>
      <c r="I114" s="293"/>
      <c r="J114" s="163"/>
      <c r="K114" s="163"/>
      <c r="L114" s="163"/>
      <c r="M114" s="163"/>
      <c r="N114" s="163"/>
      <c r="O114" s="45"/>
      <c r="P114" s="45"/>
      <c r="Q114" s="45"/>
      <c r="R114" s="45"/>
      <c r="S114" s="45"/>
      <c r="T114" s="45"/>
      <c r="U114" s="45"/>
    </row>
    <row r="115" spans="1:21">
      <c r="A115" s="163"/>
      <c r="B115" s="163"/>
      <c r="C115" s="163"/>
      <c r="D115" s="163"/>
      <c r="E115" s="163"/>
      <c r="F115" s="163"/>
      <c r="G115" s="163"/>
      <c r="H115" s="163"/>
      <c r="I115" s="293"/>
      <c r="J115" s="163"/>
      <c r="K115" s="163"/>
      <c r="L115" s="163"/>
      <c r="M115" s="163"/>
      <c r="N115" s="163"/>
      <c r="O115" s="45"/>
      <c r="P115" s="45"/>
      <c r="Q115" s="45"/>
      <c r="R115" s="45"/>
      <c r="S115" s="45"/>
      <c r="T115" s="45"/>
      <c r="U115" s="45"/>
    </row>
    <row r="116" spans="1:21">
      <c r="A116" s="163"/>
      <c r="B116" s="163"/>
      <c r="C116" s="163"/>
      <c r="D116" s="163"/>
      <c r="E116" s="163"/>
      <c r="F116" s="163"/>
      <c r="G116" s="163"/>
      <c r="H116" s="163"/>
      <c r="I116" s="293"/>
      <c r="J116" s="163"/>
      <c r="K116" s="163"/>
      <c r="L116" s="163"/>
      <c r="M116" s="163"/>
      <c r="N116" s="163"/>
      <c r="O116" s="45"/>
      <c r="P116" s="45"/>
      <c r="Q116" s="45"/>
      <c r="R116" s="45"/>
      <c r="S116" s="45"/>
      <c r="T116" s="45"/>
      <c r="U116" s="45"/>
    </row>
    <row r="117" spans="1:21">
      <c r="A117" s="291" t="s">
        <v>46</v>
      </c>
      <c r="B117" s="292"/>
      <c r="C117" s="292"/>
      <c r="D117" s="292"/>
      <c r="E117" s="292"/>
      <c r="F117" s="292"/>
      <c r="G117" s="292"/>
      <c r="H117" s="292"/>
      <c r="I117" s="293"/>
      <c r="J117" s="292"/>
      <c r="K117" s="292"/>
      <c r="L117" s="292"/>
      <c r="M117" s="163"/>
      <c r="N117" s="163"/>
      <c r="O117" s="45"/>
      <c r="P117" s="45"/>
      <c r="Q117" s="45"/>
      <c r="R117" s="45"/>
      <c r="S117" s="45"/>
      <c r="T117" s="45"/>
      <c r="U117" s="45"/>
    </row>
    <row r="118" spans="1:21">
      <c r="A118" s="295" t="s">
        <v>27</v>
      </c>
      <c r="B118" s="296" t="s">
        <v>28</v>
      </c>
      <c r="C118" s="296" t="s">
        <v>33</v>
      </c>
      <c r="D118" s="296" t="s">
        <v>36</v>
      </c>
      <c r="E118" s="296" t="s">
        <v>32</v>
      </c>
      <c r="F118" s="296" t="s">
        <v>35</v>
      </c>
      <c r="G118" s="296" t="s">
        <v>34</v>
      </c>
      <c r="H118" s="296" t="s">
        <v>31</v>
      </c>
      <c r="I118" s="297"/>
      <c r="J118" s="295" t="s">
        <v>40</v>
      </c>
      <c r="K118" s="295" t="s">
        <v>41</v>
      </c>
      <c r="L118" s="295" t="s">
        <v>45</v>
      </c>
      <c r="M118" s="163"/>
      <c r="N118" s="163"/>
      <c r="O118" s="45"/>
      <c r="P118" s="45"/>
      <c r="Q118" s="45"/>
      <c r="R118" s="45"/>
      <c r="S118" s="45"/>
      <c r="T118" s="45"/>
      <c r="U118" s="45"/>
    </row>
    <row r="119" spans="1:21">
      <c r="A119" s="292">
        <v>0.1</v>
      </c>
      <c r="B119" s="292">
        <f t="shared" ref="B119:B128" si="33">A119^$B$130</f>
        <v>0.14233957347347923</v>
      </c>
      <c r="C119" s="300">
        <f>$B$131*B119</f>
        <v>340131.1543625929</v>
      </c>
      <c r="D119" s="292">
        <f>E105</f>
        <v>336.45000000000027</v>
      </c>
      <c r="E119" s="292">
        <f>D119+$D$52*$A$119*$B$133</f>
        <v>471.03000000000031</v>
      </c>
      <c r="F119" s="292">
        <f>AVERAGE(E119,D119)</f>
        <v>403.74000000000029</v>
      </c>
      <c r="G119" s="302">
        <f t="shared" ref="G119:G128" si="34">H119*F119</f>
        <v>137324552.26235336</v>
      </c>
      <c r="H119" s="302">
        <f>C119</f>
        <v>340131.1543625929</v>
      </c>
      <c r="I119" s="293"/>
      <c r="J119" s="292">
        <f>IF(F119&lt;$J$50,$J$50,F119)</f>
        <v>403.74000000000029</v>
      </c>
      <c r="K119" s="302">
        <f>H119*J119</f>
        <v>137324552.26235336</v>
      </c>
      <c r="L119" s="300">
        <f>IF(J119&gt;F119,H119,0)</f>
        <v>0</v>
      </c>
      <c r="M119" s="163"/>
      <c r="N119" s="163"/>
      <c r="O119" s="45"/>
      <c r="P119" s="45"/>
      <c r="Q119" s="45"/>
      <c r="R119" s="45"/>
      <c r="S119" s="45"/>
      <c r="T119" s="45"/>
      <c r="U119" s="45"/>
    </row>
    <row r="120" spans="1:21">
      <c r="A120" s="292">
        <f>A119+0.1</f>
        <v>0.2</v>
      </c>
      <c r="B120" s="292">
        <f t="shared" si="33"/>
        <v>0.25597646249662076</v>
      </c>
      <c r="C120" s="300">
        <f t="shared" ref="C120:C128" si="35">$B$131*B120</f>
        <v>611675.07780154108</v>
      </c>
      <c r="D120" s="300">
        <f>E119</f>
        <v>471.03000000000031</v>
      </c>
      <c r="E120" s="292">
        <f t="shared" ref="E120:E128" si="36">D120+$D$52*$A$119*$B$133</f>
        <v>605.61000000000035</v>
      </c>
      <c r="F120" s="292">
        <f t="shared" ref="F120:F128" si="37">AVERAGE(E120,E119)</f>
        <v>538.32000000000039</v>
      </c>
      <c r="G120" s="302">
        <f t="shared" si="34"/>
        <v>146177524.86565468</v>
      </c>
      <c r="H120" s="302">
        <f t="shared" ref="H120:H128" si="38">C120-C119</f>
        <v>271543.92343894817</v>
      </c>
      <c r="I120" s="293"/>
      <c r="J120" s="292">
        <f t="shared" ref="J120:J128" si="39">IF(F120&lt;$J$50,$J$50,F120)</f>
        <v>538.32000000000039</v>
      </c>
      <c r="K120" s="302">
        <f t="shared" ref="K120:K128" si="40">H120*J120</f>
        <v>146177524.86565468</v>
      </c>
      <c r="L120" s="300">
        <f t="shared" ref="L120:L128" si="41">IF(J120&gt;F120,H120,0)</f>
        <v>0</v>
      </c>
      <c r="M120" s="163"/>
      <c r="N120" s="163"/>
      <c r="O120" s="45"/>
      <c r="P120" s="45"/>
      <c r="Q120" s="45"/>
      <c r="R120" s="45"/>
      <c r="S120" s="45"/>
      <c r="T120" s="45"/>
      <c r="U120" s="45"/>
    </row>
    <row r="121" spans="1:21">
      <c r="A121" s="292">
        <f t="shared" ref="A121:A128" si="42">A120+0.1</f>
        <v>0.30000000000000004</v>
      </c>
      <c r="B121" s="292">
        <f t="shared" si="33"/>
        <v>0.36082114762978262</v>
      </c>
      <c r="C121" s="300">
        <f t="shared" si="35"/>
        <v>862209.36642486125</v>
      </c>
      <c r="D121" s="300">
        <f t="shared" ref="D121:D128" si="43">E120</f>
        <v>605.61000000000035</v>
      </c>
      <c r="E121" s="292">
        <f t="shared" si="36"/>
        <v>740.1900000000004</v>
      </c>
      <c r="F121" s="292">
        <f t="shared" si="37"/>
        <v>672.90000000000032</v>
      </c>
      <c r="G121" s="302">
        <f t="shared" si="34"/>
        <v>168584522.81463224</v>
      </c>
      <c r="H121" s="302">
        <f t="shared" si="38"/>
        <v>250534.28862332017</v>
      </c>
      <c r="I121" s="293"/>
      <c r="J121" s="292">
        <f t="shared" si="39"/>
        <v>672.90000000000032</v>
      </c>
      <c r="K121" s="302">
        <f t="shared" si="40"/>
        <v>168584522.81463224</v>
      </c>
      <c r="L121" s="300">
        <f t="shared" si="41"/>
        <v>0</v>
      </c>
      <c r="M121" s="163"/>
      <c r="N121" s="163"/>
      <c r="O121" s="45"/>
      <c r="P121" s="45"/>
      <c r="Q121" s="45"/>
      <c r="R121" s="45"/>
      <c r="S121" s="45"/>
      <c r="T121" s="45"/>
      <c r="U121" s="45"/>
    </row>
    <row r="122" spans="1:21">
      <c r="A122" s="292">
        <f t="shared" si="42"/>
        <v>0.4</v>
      </c>
      <c r="B122" s="292">
        <f t="shared" si="33"/>
        <v>0.4603354341545246</v>
      </c>
      <c r="C122" s="300">
        <f t="shared" si="35"/>
        <v>1100006.2652439859</v>
      </c>
      <c r="D122" s="300">
        <f t="shared" si="43"/>
        <v>740.1900000000004</v>
      </c>
      <c r="E122" s="292">
        <f t="shared" si="36"/>
        <v>874.77000000000044</v>
      </c>
      <c r="F122" s="292">
        <f t="shared" si="37"/>
        <v>807.48000000000047</v>
      </c>
      <c r="G122" s="302">
        <f t="shared" si="34"/>
        <v>192016239.85846689</v>
      </c>
      <c r="H122" s="302">
        <f t="shared" si="38"/>
        <v>237796.89881912468</v>
      </c>
      <c r="I122" s="293"/>
      <c r="J122" s="292">
        <f t="shared" si="39"/>
        <v>807.48000000000047</v>
      </c>
      <c r="K122" s="302">
        <f t="shared" si="40"/>
        <v>192016239.85846689</v>
      </c>
      <c r="L122" s="300">
        <f t="shared" si="41"/>
        <v>0</v>
      </c>
      <c r="M122" s="163"/>
      <c r="N122" s="163"/>
      <c r="O122" s="45"/>
      <c r="P122" s="45"/>
      <c r="Q122" s="45"/>
      <c r="R122" s="45"/>
      <c r="S122" s="45"/>
      <c r="T122" s="45"/>
      <c r="U122" s="45"/>
    </row>
    <row r="123" spans="1:21">
      <c r="A123" s="292">
        <f t="shared" si="42"/>
        <v>0.5</v>
      </c>
      <c r="B123" s="292">
        <f t="shared" si="33"/>
        <v>0.55606508538009936</v>
      </c>
      <c r="C123" s="300">
        <f t="shared" si="35"/>
        <v>1328759.4923579472</v>
      </c>
      <c r="D123" s="300">
        <f t="shared" si="43"/>
        <v>874.77000000000044</v>
      </c>
      <c r="E123" s="292">
        <f t="shared" si="36"/>
        <v>1009.3500000000005</v>
      </c>
      <c r="F123" s="292">
        <f t="shared" si="37"/>
        <v>942.0600000000004</v>
      </c>
      <c r="G123" s="302">
        <f t="shared" si="34"/>
        <v>215499265.13497841</v>
      </c>
      <c r="H123" s="302">
        <f t="shared" si="38"/>
        <v>228753.22711396124</v>
      </c>
      <c r="I123" s="293"/>
      <c r="J123" s="292">
        <f t="shared" si="39"/>
        <v>942.0600000000004</v>
      </c>
      <c r="K123" s="302">
        <f t="shared" si="40"/>
        <v>215499265.13497841</v>
      </c>
      <c r="L123" s="300">
        <f t="shared" si="41"/>
        <v>0</v>
      </c>
      <c r="M123" s="163"/>
      <c r="N123" s="163"/>
      <c r="O123" s="45"/>
      <c r="P123" s="45"/>
      <c r="Q123" s="45"/>
      <c r="R123" s="45"/>
      <c r="S123" s="45"/>
      <c r="T123" s="45"/>
      <c r="U123" s="45"/>
    </row>
    <row r="124" spans="1:21">
      <c r="A124" s="292">
        <f t="shared" si="42"/>
        <v>0.6</v>
      </c>
      <c r="B124" s="292">
        <f t="shared" si="33"/>
        <v>0.64888294035426208</v>
      </c>
      <c r="C124" s="300">
        <f t="shared" si="35"/>
        <v>1550554.7625517549</v>
      </c>
      <c r="D124" s="300">
        <f t="shared" si="43"/>
        <v>1009.3500000000005</v>
      </c>
      <c r="E124" s="292">
        <f t="shared" si="36"/>
        <v>1143.9300000000005</v>
      </c>
      <c r="F124" s="292">
        <f t="shared" si="37"/>
        <v>1076.6400000000006</v>
      </c>
      <c r="G124" s="302">
        <f t="shared" si="34"/>
        <v>238793659.70146134</v>
      </c>
      <c r="H124" s="302">
        <f t="shared" si="38"/>
        <v>221795.27019380778</v>
      </c>
      <c r="I124" s="293"/>
      <c r="J124" s="292">
        <f t="shared" si="39"/>
        <v>1076.6400000000006</v>
      </c>
      <c r="K124" s="302">
        <f t="shared" si="40"/>
        <v>238793659.70146134</v>
      </c>
      <c r="L124" s="300">
        <f t="shared" si="41"/>
        <v>0</v>
      </c>
      <c r="M124" s="163"/>
      <c r="N124" s="163"/>
      <c r="O124" s="45"/>
      <c r="P124" s="45"/>
      <c r="Q124" s="45"/>
      <c r="R124" s="45"/>
      <c r="S124" s="45"/>
      <c r="T124" s="45"/>
      <c r="U124" s="45"/>
    </row>
    <row r="125" spans="1:21">
      <c r="A125" s="292">
        <f t="shared" si="42"/>
        <v>0.7</v>
      </c>
      <c r="B125" s="292">
        <f>A125^$B$130</f>
        <v>0.73934728987941256</v>
      </c>
      <c r="C125" s="300">
        <f t="shared" si="35"/>
        <v>1766726.1538365795</v>
      </c>
      <c r="D125" s="300">
        <f t="shared" si="43"/>
        <v>1143.9300000000005</v>
      </c>
      <c r="E125" s="292">
        <f t="shared" si="36"/>
        <v>1278.5100000000004</v>
      </c>
      <c r="F125" s="292">
        <f t="shared" si="37"/>
        <v>1211.2200000000005</v>
      </c>
      <c r="G125" s="302">
        <f t="shared" si="34"/>
        <v>261831112.55200532</v>
      </c>
      <c r="H125" s="302">
        <f t="shared" si="38"/>
        <v>216171.39128482458</v>
      </c>
      <c r="I125" s="293"/>
      <c r="J125" s="292">
        <f t="shared" si="39"/>
        <v>1211.2200000000005</v>
      </c>
      <c r="K125" s="302">
        <f t="shared" si="40"/>
        <v>261831112.55200532</v>
      </c>
      <c r="L125" s="300">
        <f t="shared" si="41"/>
        <v>0</v>
      </c>
      <c r="M125" s="163"/>
      <c r="N125" s="163"/>
      <c r="O125" s="45"/>
      <c r="P125" s="45"/>
      <c r="Q125" s="45"/>
      <c r="R125" s="45"/>
      <c r="S125" s="45"/>
      <c r="T125" s="45"/>
      <c r="U125" s="45"/>
    </row>
    <row r="126" spans="1:21">
      <c r="A126" s="292">
        <f t="shared" si="42"/>
        <v>0.79999999999999993</v>
      </c>
      <c r="B126" s="292">
        <f t="shared" si="33"/>
        <v>0.82784452082594151</v>
      </c>
      <c r="C126" s="300">
        <f t="shared" si="35"/>
        <v>1978196.9668030399</v>
      </c>
      <c r="D126" s="300">
        <f t="shared" si="43"/>
        <v>1278.5100000000004</v>
      </c>
      <c r="E126" s="292">
        <f t="shared" si="36"/>
        <v>1413.0900000000004</v>
      </c>
      <c r="F126" s="292">
        <f t="shared" si="37"/>
        <v>1345.8000000000004</v>
      </c>
      <c r="G126" s="302">
        <f t="shared" si="34"/>
        <v>284597420.09026241</v>
      </c>
      <c r="H126" s="302">
        <f t="shared" si="38"/>
        <v>211470.81296646036</v>
      </c>
      <c r="I126" s="293"/>
      <c r="J126" s="292">
        <f t="shared" si="39"/>
        <v>1345.8000000000004</v>
      </c>
      <c r="K126" s="302">
        <f t="shared" si="40"/>
        <v>284597420.09026241</v>
      </c>
      <c r="L126" s="300">
        <f t="shared" si="41"/>
        <v>0</v>
      </c>
      <c r="M126" s="163"/>
      <c r="N126" s="163"/>
      <c r="O126" s="45"/>
      <c r="P126" s="45"/>
      <c r="Q126" s="45"/>
      <c r="R126" s="45"/>
      <c r="S126" s="45"/>
      <c r="T126" s="45"/>
      <c r="U126" s="45"/>
    </row>
    <row r="127" spans="1:21">
      <c r="A127" s="292">
        <f t="shared" si="42"/>
        <v>0.89999999999999991</v>
      </c>
      <c r="B127" s="292">
        <f t="shared" si="33"/>
        <v>0.91465709359548408</v>
      </c>
      <c r="C127" s="300">
        <f t="shared" si="35"/>
        <v>2185642.1619004719</v>
      </c>
      <c r="D127" s="300">
        <f t="shared" si="43"/>
        <v>1413.0900000000004</v>
      </c>
      <c r="E127" s="292">
        <f t="shared" si="36"/>
        <v>1547.6700000000003</v>
      </c>
      <c r="F127" s="292">
        <f t="shared" si="37"/>
        <v>1480.3800000000003</v>
      </c>
      <c r="G127" s="302">
        <f t="shared" si="34"/>
        <v>307097717.91833645</v>
      </c>
      <c r="H127" s="302">
        <f t="shared" si="38"/>
        <v>207445.19509743201</v>
      </c>
      <c r="I127" s="293">
        <f>SUM(H127:H128)/H129</f>
        <v>0.17215547917405835</v>
      </c>
      <c r="J127" s="292">
        <f t="shared" si="39"/>
        <v>1480.3800000000003</v>
      </c>
      <c r="K127" s="302">
        <f t="shared" si="40"/>
        <v>307097717.91833645</v>
      </c>
      <c r="L127" s="300">
        <f t="shared" si="41"/>
        <v>0</v>
      </c>
      <c r="M127" s="163"/>
      <c r="N127" s="163"/>
      <c r="O127" s="45"/>
      <c r="P127" s="45"/>
      <c r="Q127" s="45"/>
      <c r="R127" s="45"/>
      <c r="S127" s="45"/>
      <c r="T127" s="45"/>
      <c r="U127" s="45"/>
    </row>
    <row r="128" spans="1:21">
      <c r="A128" s="292">
        <f t="shared" si="42"/>
        <v>0.99999999999999989</v>
      </c>
      <c r="B128" s="292">
        <f t="shared" si="33"/>
        <v>0.99999999999999989</v>
      </c>
      <c r="C128" s="300">
        <f t="shared" si="35"/>
        <v>2389575.4782907665</v>
      </c>
      <c r="D128" s="300">
        <f t="shared" si="43"/>
        <v>1547.6700000000003</v>
      </c>
      <c r="E128" s="292">
        <f t="shared" si="36"/>
        <v>1682.2500000000002</v>
      </c>
      <c r="F128" s="292">
        <f t="shared" si="37"/>
        <v>1614.9600000000003</v>
      </c>
      <c r="G128" s="302">
        <f t="shared" si="34"/>
        <v>329344148.63767022</v>
      </c>
      <c r="H128" s="302">
        <f t="shared" si="38"/>
        <v>203933.31639029458</v>
      </c>
      <c r="I128" s="293"/>
      <c r="J128" s="292">
        <f t="shared" si="39"/>
        <v>1614.9600000000003</v>
      </c>
      <c r="K128" s="302">
        <f t="shared" si="40"/>
        <v>329344148.63767022</v>
      </c>
      <c r="L128" s="300">
        <f t="shared" si="41"/>
        <v>0</v>
      </c>
      <c r="M128" s="163"/>
      <c r="N128" s="163"/>
      <c r="O128" s="45"/>
      <c r="P128" s="45"/>
      <c r="Q128" s="45"/>
      <c r="R128" s="45"/>
      <c r="S128" s="45"/>
      <c r="T128" s="45"/>
      <c r="U128" s="45"/>
    </row>
    <row r="129" spans="1:21">
      <c r="A129" s="292"/>
      <c r="B129" s="292"/>
      <c r="C129" s="292"/>
      <c r="D129" s="292"/>
      <c r="E129" s="292"/>
      <c r="F129" s="302"/>
      <c r="G129" s="302">
        <f>SUM(G119:G128)</f>
        <v>2281266163.8358212</v>
      </c>
      <c r="H129" s="302">
        <f>SUM(H119:H128)</f>
        <v>2389575.4782907665</v>
      </c>
      <c r="I129" s="293"/>
      <c r="J129" s="292"/>
      <c r="K129" s="302">
        <f>SUM(K119:K128)</f>
        <v>2281266163.8358212</v>
      </c>
      <c r="L129" s="302">
        <f>SUM(L119:L128)</f>
        <v>0</v>
      </c>
      <c r="M129" s="163"/>
      <c r="N129" s="163"/>
      <c r="O129" s="45"/>
      <c r="P129" s="45"/>
      <c r="Q129" s="45"/>
      <c r="R129" s="45"/>
      <c r="S129" s="45"/>
      <c r="T129" s="45"/>
      <c r="U129" s="45"/>
    </row>
    <row r="130" spans="1:21">
      <c r="A130" s="292" t="s">
        <v>29</v>
      </c>
      <c r="B130" s="307">
        <f>B12</f>
        <v>0.84667433988883134</v>
      </c>
      <c r="C130" s="292"/>
      <c r="D130" s="292"/>
      <c r="E130" s="292"/>
      <c r="F130" s="292"/>
      <c r="G130" s="292"/>
      <c r="H130" s="292"/>
      <c r="I130" s="293"/>
      <c r="J130" s="292"/>
      <c r="K130" s="300"/>
      <c r="L130" s="302"/>
      <c r="M130" s="163"/>
      <c r="N130" s="163"/>
      <c r="O130" s="45"/>
      <c r="P130" s="45"/>
      <c r="Q130" s="45"/>
      <c r="R130" s="45"/>
      <c r="S130" s="45"/>
      <c r="T130" s="45"/>
      <c r="U130" s="45"/>
    </row>
    <row r="131" spans="1:21">
      <c r="A131" s="295" t="s">
        <v>30</v>
      </c>
      <c r="B131" s="305">
        <f>H22</f>
        <v>2389575.4782907669</v>
      </c>
      <c r="C131" s="292"/>
      <c r="D131" s="292"/>
      <c r="E131" s="292"/>
      <c r="F131" s="292"/>
      <c r="G131" s="292"/>
      <c r="H131" s="292"/>
      <c r="I131" s="293"/>
      <c r="J131" s="292"/>
      <c r="K131" s="292"/>
      <c r="L131" s="292"/>
      <c r="M131" s="163"/>
      <c r="N131" s="163"/>
      <c r="O131" s="45"/>
      <c r="P131" s="45"/>
      <c r="Q131" s="45"/>
      <c r="R131" s="45"/>
      <c r="S131" s="45"/>
      <c r="T131" s="45"/>
      <c r="U131" s="45"/>
    </row>
    <row r="132" spans="1:21">
      <c r="A132" s="295" t="s">
        <v>37</v>
      </c>
      <c r="B132" s="292">
        <f>G129/H129</f>
        <v>954.67424425847491</v>
      </c>
      <c r="C132" s="292"/>
      <c r="D132" s="292"/>
      <c r="E132" s="292"/>
      <c r="F132" s="292"/>
      <c r="G132" s="292"/>
      <c r="H132" s="292"/>
      <c r="I132" s="293"/>
      <c r="J132" s="292"/>
      <c r="K132" s="292"/>
      <c r="L132" s="292"/>
      <c r="M132" s="163"/>
      <c r="N132" s="163"/>
      <c r="O132" s="45"/>
      <c r="P132" s="45"/>
      <c r="Q132" s="45"/>
      <c r="R132" s="45"/>
      <c r="S132" s="45"/>
      <c r="T132" s="45"/>
      <c r="U132" s="45"/>
    </row>
    <row r="133" spans="1:21">
      <c r="A133" s="295" t="s">
        <v>43</v>
      </c>
      <c r="B133" s="292">
        <f>H10-G10</f>
        <v>20</v>
      </c>
      <c r="C133" s="292"/>
      <c r="D133" s="292"/>
      <c r="E133" s="292"/>
      <c r="F133" s="292"/>
      <c r="G133" s="292"/>
      <c r="H133" s="292"/>
      <c r="I133" s="293"/>
      <c r="J133" s="292"/>
      <c r="K133" s="292"/>
      <c r="L133" s="292"/>
      <c r="M133" s="163"/>
      <c r="N133" s="163"/>
      <c r="O133" s="45"/>
      <c r="P133" s="45"/>
      <c r="Q133" s="45"/>
      <c r="R133" s="45"/>
      <c r="S133" s="45"/>
      <c r="T133" s="45"/>
      <c r="U133" s="45"/>
    </row>
    <row r="134" spans="1:21">
      <c r="A134" s="295" t="s">
        <v>44</v>
      </c>
      <c r="B134" s="302">
        <f>G129*360</f>
        <v>821255818980.89563</v>
      </c>
      <c r="C134" s="292"/>
      <c r="D134" s="292"/>
      <c r="E134" s="292"/>
      <c r="F134" s="292"/>
      <c r="G134" s="292"/>
      <c r="H134" s="292"/>
      <c r="I134" s="293"/>
      <c r="J134" s="292"/>
      <c r="K134" s="292"/>
      <c r="L134" s="292"/>
      <c r="M134" s="163"/>
      <c r="N134" s="163"/>
      <c r="O134" s="45"/>
      <c r="P134" s="45"/>
      <c r="Q134" s="45"/>
      <c r="R134" s="45"/>
      <c r="S134" s="45"/>
      <c r="T134" s="45"/>
      <c r="U134" s="45"/>
    </row>
    <row r="135" spans="1:21">
      <c r="A135" s="295" t="s">
        <v>40</v>
      </c>
      <c r="B135" s="292">
        <f>K129/H129</f>
        <v>954.67424425847491</v>
      </c>
      <c r="C135" s="292"/>
      <c r="D135" s="292"/>
      <c r="E135" s="292"/>
      <c r="F135" s="292"/>
      <c r="G135" s="292"/>
      <c r="H135" s="292"/>
      <c r="I135" s="293"/>
      <c r="J135" s="292"/>
      <c r="K135" s="292"/>
      <c r="L135" s="292"/>
      <c r="M135" s="163"/>
      <c r="N135" s="163"/>
      <c r="O135" s="45"/>
      <c r="P135" s="45"/>
      <c r="Q135" s="45"/>
      <c r="R135" s="45"/>
      <c r="S135" s="45"/>
      <c r="T135" s="45"/>
      <c r="U135" s="45"/>
    </row>
    <row r="136" spans="1:21">
      <c r="A136" s="295" t="s">
        <v>42</v>
      </c>
      <c r="B136" s="306">
        <f>K129/G129-1</f>
        <v>0</v>
      </c>
      <c r="C136" s="292"/>
      <c r="D136" s="292"/>
      <c r="E136" s="292"/>
      <c r="F136" s="292"/>
      <c r="G136" s="292"/>
      <c r="H136" s="292"/>
      <c r="I136" s="293"/>
      <c r="J136" s="292"/>
      <c r="K136" s="292"/>
      <c r="L136" s="292"/>
      <c r="M136" s="163"/>
      <c r="N136" s="163"/>
      <c r="O136" s="45"/>
      <c r="P136" s="45"/>
      <c r="Q136" s="45"/>
      <c r="R136" s="45"/>
      <c r="S136" s="45"/>
      <c r="T136" s="45"/>
      <c r="U136" s="45"/>
    </row>
    <row r="137" spans="1:21">
      <c r="A137" s="45"/>
      <c r="B137" s="45"/>
      <c r="C137" s="45"/>
      <c r="D137" s="45"/>
      <c r="E137" s="45"/>
      <c r="F137" s="45"/>
      <c r="G137" s="45"/>
      <c r="H137" s="45"/>
      <c r="I137" s="56"/>
      <c r="J137" s="45"/>
      <c r="K137" s="45"/>
      <c r="L137" s="45"/>
      <c r="M137" s="45"/>
      <c r="N137" s="45"/>
      <c r="O137" s="45"/>
      <c r="P137" s="45"/>
      <c r="Q137" s="45"/>
      <c r="R137" s="45"/>
      <c r="S137" s="45"/>
      <c r="T137" s="45"/>
      <c r="U137" s="45"/>
    </row>
    <row r="138" spans="1:21">
      <c r="A138" s="45"/>
      <c r="B138" s="45"/>
      <c r="C138" s="45"/>
      <c r="D138" s="45"/>
      <c r="E138" s="45"/>
      <c r="F138" s="45"/>
      <c r="G138" s="45"/>
      <c r="H138" s="45"/>
      <c r="I138" s="56"/>
      <c r="J138" s="45"/>
      <c r="K138" s="45"/>
      <c r="L138" s="45"/>
      <c r="M138" s="45"/>
      <c r="N138" s="45"/>
      <c r="O138" s="45"/>
      <c r="P138" s="45"/>
      <c r="Q138" s="45"/>
      <c r="R138" s="45"/>
      <c r="S138" s="45"/>
      <c r="T138" s="45"/>
      <c r="U138" s="45"/>
    </row>
    <row r="139" spans="1:21">
      <c r="A139" s="45"/>
      <c r="B139" s="45"/>
      <c r="C139" s="45"/>
      <c r="D139" s="45"/>
      <c r="E139" s="45"/>
      <c r="F139" s="45"/>
      <c r="G139" s="45"/>
      <c r="H139" s="45"/>
      <c r="I139" s="56"/>
      <c r="J139" s="45"/>
      <c r="K139" s="45"/>
      <c r="L139" s="45"/>
      <c r="M139" s="45"/>
      <c r="N139" s="45"/>
      <c r="O139" s="45"/>
      <c r="P139" s="45"/>
      <c r="Q139" s="45"/>
      <c r="R139" s="45"/>
      <c r="S139" s="45"/>
      <c r="T139" s="45"/>
      <c r="U139" s="45"/>
    </row>
    <row r="140" spans="1:21">
      <c r="A140" s="45"/>
      <c r="B140" s="45"/>
      <c r="C140" s="45"/>
      <c r="D140" s="45"/>
      <c r="E140" s="45"/>
      <c r="F140" s="45"/>
      <c r="G140" s="45"/>
      <c r="H140" s="45"/>
      <c r="I140" s="56"/>
      <c r="J140" s="45"/>
      <c r="K140" s="45"/>
      <c r="L140" s="45"/>
      <c r="M140" s="45"/>
      <c r="N140" s="45"/>
      <c r="O140" s="45"/>
      <c r="P140" s="45"/>
      <c r="Q140" s="45"/>
      <c r="R140" s="45"/>
      <c r="S140" s="45"/>
      <c r="T140" s="45"/>
      <c r="U140" s="45"/>
    </row>
    <row r="141" spans="1:21">
      <c r="A141" s="45"/>
      <c r="B141" s="45"/>
      <c r="C141" s="45"/>
      <c r="D141" s="45"/>
      <c r="E141" s="45"/>
      <c r="F141" s="45"/>
      <c r="G141" s="45"/>
      <c r="H141" s="45"/>
      <c r="I141" s="56"/>
      <c r="J141" s="45"/>
      <c r="K141" s="45"/>
      <c r="L141" s="45"/>
      <c r="M141" s="45"/>
      <c r="N141" s="45"/>
      <c r="O141" s="45"/>
      <c r="P141" s="45"/>
      <c r="Q141" s="45"/>
      <c r="R141" s="45"/>
      <c r="S141" s="45"/>
      <c r="T141" s="45"/>
      <c r="U141" s="45"/>
    </row>
    <row r="142" spans="1:21">
      <c r="A142" s="45"/>
      <c r="B142" s="45"/>
      <c r="C142" s="45"/>
      <c r="D142" s="45"/>
      <c r="E142" s="45"/>
      <c r="F142" s="45"/>
      <c r="G142" s="45"/>
      <c r="H142" s="45"/>
      <c r="I142" s="56"/>
      <c r="J142" s="45"/>
      <c r="K142" s="45"/>
      <c r="L142" s="45"/>
      <c r="M142" s="45"/>
      <c r="N142" s="45"/>
      <c r="O142" s="45"/>
      <c r="P142" s="45"/>
      <c r="Q142" s="45"/>
      <c r="R142" s="45"/>
      <c r="S142" s="45"/>
      <c r="T142" s="45"/>
      <c r="U142" s="45"/>
    </row>
    <row r="143" spans="1:21">
      <c r="A143" s="45"/>
      <c r="B143" s="45"/>
      <c r="C143" s="45"/>
      <c r="D143" s="45"/>
      <c r="E143" s="45"/>
      <c r="F143" s="45"/>
      <c r="G143" s="45"/>
      <c r="H143" s="45"/>
      <c r="I143" s="56"/>
      <c r="J143" s="45"/>
      <c r="K143" s="45"/>
      <c r="L143" s="45"/>
      <c r="M143" s="45"/>
      <c r="N143" s="45"/>
      <c r="O143" s="45"/>
      <c r="P143" s="45"/>
      <c r="Q143" s="45"/>
      <c r="R143" s="45"/>
      <c r="S143" s="45"/>
      <c r="T143" s="45"/>
      <c r="U143" s="45"/>
    </row>
    <row r="144" spans="1:21">
      <c r="A144" s="45"/>
      <c r="B144" s="45"/>
      <c r="C144" s="45"/>
      <c r="D144" s="45"/>
      <c r="E144" s="45"/>
      <c r="F144" s="45"/>
      <c r="G144" s="45"/>
      <c r="H144" s="45"/>
      <c r="I144" s="56"/>
      <c r="J144" s="45"/>
      <c r="K144" s="45"/>
      <c r="L144" s="45"/>
      <c r="M144" s="45"/>
      <c r="N144" s="45"/>
      <c r="O144" s="45"/>
      <c r="P144" s="45"/>
      <c r="Q144" s="45"/>
      <c r="R144" s="45"/>
      <c r="S144" s="45"/>
      <c r="T144" s="45"/>
      <c r="U144" s="45"/>
    </row>
    <row r="145" spans="1:21">
      <c r="A145" s="45"/>
      <c r="B145" s="45"/>
      <c r="C145" s="45"/>
      <c r="D145" s="45"/>
      <c r="E145" s="45"/>
      <c r="F145" s="45"/>
      <c r="G145" s="45"/>
      <c r="H145" s="45"/>
      <c r="I145" s="56"/>
      <c r="J145" s="45"/>
      <c r="K145" s="45"/>
      <c r="L145" s="45"/>
      <c r="M145" s="45"/>
      <c r="N145" s="45"/>
      <c r="O145" s="45"/>
      <c r="P145" s="45"/>
      <c r="Q145" s="45"/>
      <c r="R145" s="45"/>
      <c r="S145" s="45"/>
      <c r="T145" s="45"/>
      <c r="U145" s="45"/>
    </row>
    <row r="146" spans="1:21">
      <c r="A146" s="45"/>
      <c r="B146" s="45"/>
      <c r="C146" s="45"/>
      <c r="D146" s="45"/>
      <c r="E146" s="45"/>
      <c r="F146" s="45"/>
      <c r="G146" s="45"/>
      <c r="H146" s="45"/>
      <c r="I146" s="56"/>
      <c r="J146" s="45"/>
      <c r="K146" s="45"/>
      <c r="L146" s="45"/>
      <c r="M146" s="45"/>
      <c r="N146" s="45"/>
      <c r="O146" s="45"/>
      <c r="P146" s="45"/>
      <c r="Q146" s="45"/>
      <c r="R146" s="45"/>
      <c r="S146" s="45"/>
      <c r="T146" s="45"/>
      <c r="U146" s="45"/>
    </row>
    <row r="147" spans="1:21">
      <c r="A147" s="45"/>
      <c r="B147" s="45"/>
      <c r="C147" s="45"/>
      <c r="D147" s="45"/>
      <c r="E147" s="45"/>
      <c r="F147" s="45"/>
      <c r="G147" s="45"/>
      <c r="H147" s="45"/>
      <c r="I147" s="56"/>
      <c r="J147" s="45"/>
      <c r="K147" s="45"/>
      <c r="L147" s="45"/>
      <c r="M147" s="45"/>
      <c r="N147" s="45"/>
      <c r="O147" s="45"/>
      <c r="P147" s="45"/>
      <c r="Q147" s="45"/>
      <c r="R147" s="45"/>
      <c r="S147" s="45"/>
      <c r="T147" s="45"/>
      <c r="U147" s="45"/>
    </row>
    <row r="148" spans="1:21">
      <c r="A148" s="45"/>
      <c r="B148" s="45"/>
      <c r="C148" s="45"/>
      <c r="D148" s="45"/>
      <c r="E148" s="45"/>
      <c r="F148" s="45"/>
      <c r="G148" s="45"/>
      <c r="H148" s="45"/>
      <c r="I148" s="56"/>
      <c r="J148" s="45"/>
      <c r="K148" s="45"/>
      <c r="L148" s="45"/>
      <c r="M148" s="45"/>
      <c r="N148" s="45"/>
      <c r="O148" s="45"/>
      <c r="P148" s="45"/>
      <c r="Q148" s="45"/>
      <c r="R148" s="45"/>
      <c r="S148" s="45"/>
      <c r="T148" s="45"/>
      <c r="U148" s="45"/>
    </row>
    <row r="149" spans="1:21">
      <c r="A149" s="45"/>
      <c r="B149" s="45"/>
      <c r="C149" s="45"/>
      <c r="D149" s="45"/>
      <c r="E149" s="45"/>
      <c r="F149" s="45"/>
      <c r="G149" s="45"/>
      <c r="H149" s="45"/>
      <c r="I149" s="56"/>
      <c r="J149" s="45"/>
      <c r="K149" s="45"/>
      <c r="L149" s="45"/>
      <c r="M149" s="45"/>
      <c r="N149" s="45"/>
      <c r="O149" s="45"/>
      <c r="P149" s="45"/>
      <c r="Q149" s="45"/>
      <c r="R149" s="45"/>
      <c r="S149" s="45"/>
      <c r="T149" s="45"/>
      <c r="U149" s="45"/>
    </row>
    <row r="150" spans="1:21">
      <c r="A150" s="45"/>
      <c r="B150" s="45"/>
      <c r="C150" s="45"/>
      <c r="D150" s="45"/>
      <c r="E150" s="45"/>
      <c r="F150" s="45"/>
      <c r="G150" s="45"/>
      <c r="H150" s="45"/>
      <c r="I150" s="56"/>
      <c r="J150" s="45"/>
      <c r="K150" s="45"/>
      <c r="L150" s="45"/>
      <c r="M150" s="45"/>
      <c r="N150" s="45"/>
      <c r="O150" s="45"/>
      <c r="P150" s="45"/>
      <c r="Q150" s="45"/>
      <c r="R150" s="45"/>
      <c r="S150" s="45"/>
      <c r="T150" s="45"/>
      <c r="U150" s="45"/>
    </row>
    <row r="151" spans="1:21">
      <c r="A151" s="45"/>
      <c r="B151" s="45"/>
      <c r="C151" s="45"/>
      <c r="D151" s="45"/>
      <c r="E151" s="45"/>
      <c r="F151" s="45"/>
      <c r="G151" s="45"/>
      <c r="H151" s="45"/>
      <c r="I151" s="56"/>
      <c r="J151" s="45"/>
      <c r="K151" s="45"/>
      <c r="L151" s="45"/>
      <c r="M151" s="45"/>
      <c r="N151" s="45"/>
      <c r="O151" s="45"/>
      <c r="P151" s="45"/>
      <c r="Q151" s="45"/>
      <c r="R151" s="45"/>
      <c r="S151" s="45"/>
      <c r="T151" s="45"/>
      <c r="U151" s="45"/>
    </row>
    <row r="152" spans="1:21">
      <c r="A152" s="45"/>
      <c r="B152" s="45"/>
      <c r="C152" s="45"/>
      <c r="D152" s="45"/>
      <c r="E152" s="45"/>
      <c r="F152" s="45"/>
      <c r="G152" s="45"/>
      <c r="H152" s="45"/>
      <c r="I152" s="56"/>
      <c r="J152" s="45"/>
      <c r="K152" s="45"/>
      <c r="L152" s="45"/>
      <c r="M152" s="45"/>
      <c r="N152" s="45"/>
      <c r="O152" s="45"/>
      <c r="P152" s="45"/>
      <c r="Q152" s="45"/>
      <c r="R152" s="45"/>
      <c r="S152" s="45"/>
      <c r="T152" s="45"/>
      <c r="U152" s="45"/>
    </row>
    <row r="153" spans="1:21">
      <c r="A153" s="45"/>
      <c r="B153" s="45"/>
      <c r="C153" s="45"/>
      <c r="D153" s="45"/>
      <c r="E153" s="45"/>
      <c r="F153" s="45"/>
      <c r="G153" s="45"/>
      <c r="H153" s="45"/>
      <c r="I153" s="56"/>
      <c r="J153" s="45"/>
      <c r="K153" s="45"/>
      <c r="L153" s="45"/>
      <c r="M153" s="45"/>
      <c r="N153" s="45"/>
      <c r="O153" s="45"/>
      <c r="P153" s="45"/>
      <c r="Q153" s="45"/>
      <c r="R153" s="45"/>
      <c r="S153" s="45"/>
      <c r="T153" s="45"/>
      <c r="U153" s="45"/>
    </row>
    <row r="154" spans="1:21">
      <c r="A154" s="45"/>
      <c r="B154" s="45"/>
      <c r="C154" s="45"/>
      <c r="D154" s="45"/>
      <c r="E154" s="45"/>
      <c r="F154" s="45"/>
      <c r="G154" s="45"/>
      <c r="H154" s="45"/>
      <c r="I154" s="56"/>
      <c r="J154" s="45"/>
      <c r="K154" s="45"/>
      <c r="L154" s="45"/>
      <c r="M154" s="45"/>
      <c r="N154" s="45"/>
      <c r="O154" s="45"/>
      <c r="P154" s="45"/>
      <c r="Q154" s="45"/>
      <c r="R154" s="45"/>
      <c r="S154" s="45"/>
      <c r="T154" s="45"/>
      <c r="U154" s="45"/>
    </row>
    <row r="155" spans="1:21">
      <c r="A155" s="45"/>
      <c r="B155" s="45"/>
      <c r="C155" s="45"/>
      <c r="D155" s="45"/>
      <c r="E155" s="45"/>
      <c r="F155" s="45"/>
      <c r="G155" s="45"/>
      <c r="H155" s="45"/>
      <c r="I155" s="56"/>
      <c r="J155" s="45"/>
      <c r="K155" s="45"/>
      <c r="L155" s="45"/>
      <c r="M155" s="45"/>
      <c r="N155" s="45"/>
      <c r="O155" s="45"/>
      <c r="P155" s="45"/>
      <c r="Q155" s="45"/>
      <c r="R155" s="45"/>
      <c r="S155" s="45"/>
      <c r="T155" s="45"/>
      <c r="U155" s="45"/>
    </row>
    <row r="156" spans="1:21">
      <c r="A156" s="45"/>
      <c r="B156" s="45"/>
      <c r="C156" s="45"/>
      <c r="D156" s="45"/>
      <c r="E156" s="45"/>
      <c r="F156" s="45"/>
      <c r="G156" s="45"/>
      <c r="H156" s="45"/>
      <c r="I156" s="56"/>
      <c r="J156" s="45"/>
      <c r="K156" s="45"/>
      <c r="L156" s="45"/>
      <c r="M156" s="45"/>
      <c r="N156" s="45"/>
      <c r="O156" s="45"/>
      <c r="P156" s="45"/>
      <c r="Q156" s="45"/>
      <c r="R156" s="45"/>
      <c r="S156" s="45"/>
      <c r="T156" s="45"/>
      <c r="U156" s="45"/>
    </row>
    <row r="157" spans="1:21">
      <c r="A157" s="45"/>
      <c r="B157" s="45"/>
      <c r="C157" s="45"/>
      <c r="D157" s="45"/>
      <c r="E157" s="45"/>
      <c r="F157" s="45"/>
      <c r="G157" s="45"/>
      <c r="H157" s="45"/>
      <c r="I157" s="56"/>
      <c r="J157" s="45"/>
      <c r="K157" s="45"/>
      <c r="L157" s="45"/>
      <c r="M157" s="45"/>
      <c r="N157" s="45"/>
      <c r="O157" s="45"/>
      <c r="P157" s="45"/>
      <c r="Q157" s="45"/>
      <c r="R157" s="45"/>
      <c r="S157" s="45"/>
      <c r="T157" s="45"/>
      <c r="U157" s="45"/>
    </row>
    <row r="158" spans="1:21">
      <c r="A158" s="45"/>
      <c r="B158" s="45"/>
      <c r="C158" s="45"/>
      <c r="D158" s="45"/>
      <c r="E158" s="45"/>
      <c r="F158" s="45"/>
      <c r="G158" s="45"/>
      <c r="H158" s="45"/>
      <c r="I158" s="56"/>
      <c r="J158" s="45"/>
      <c r="K158" s="45"/>
      <c r="L158" s="45"/>
      <c r="M158" s="45"/>
      <c r="N158" s="45"/>
      <c r="O158" s="45"/>
      <c r="P158" s="45"/>
      <c r="Q158" s="45"/>
      <c r="R158" s="45"/>
      <c r="S158" s="45"/>
      <c r="T158" s="45"/>
      <c r="U158" s="45"/>
    </row>
    <row r="159" spans="1:21">
      <c r="A159" s="45"/>
      <c r="B159" s="45"/>
      <c r="C159" s="45"/>
      <c r="D159" s="45"/>
      <c r="E159" s="45"/>
      <c r="F159" s="45"/>
      <c r="G159" s="45"/>
      <c r="H159" s="45"/>
      <c r="I159" s="56"/>
      <c r="J159" s="45"/>
      <c r="K159" s="45"/>
      <c r="L159" s="45"/>
      <c r="M159" s="45"/>
      <c r="N159" s="45"/>
      <c r="O159" s="45"/>
      <c r="P159" s="45"/>
      <c r="Q159" s="45"/>
      <c r="R159" s="45"/>
      <c r="S159" s="45"/>
      <c r="T159" s="45"/>
      <c r="U159" s="45"/>
    </row>
    <row r="160" spans="1:21">
      <c r="A160" s="45"/>
      <c r="B160" s="45"/>
      <c r="C160" s="45"/>
      <c r="D160" s="45"/>
      <c r="E160" s="45"/>
      <c r="F160" s="45"/>
      <c r="G160" s="45"/>
      <c r="H160" s="45"/>
      <c r="I160" s="56"/>
      <c r="J160" s="45"/>
      <c r="K160" s="45"/>
      <c r="L160" s="45"/>
      <c r="M160" s="45"/>
      <c r="N160" s="45"/>
      <c r="O160" s="45"/>
      <c r="P160" s="45"/>
      <c r="Q160" s="45"/>
      <c r="R160" s="45"/>
      <c r="S160" s="45"/>
      <c r="T160" s="45"/>
      <c r="U160" s="45"/>
    </row>
    <row r="161" spans="1:21">
      <c r="A161" s="45"/>
      <c r="B161" s="45"/>
      <c r="C161" s="45"/>
      <c r="D161" s="45"/>
      <c r="E161" s="45"/>
      <c r="F161" s="45"/>
      <c r="G161" s="45"/>
      <c r="H161" s="45"/>
      <c r="I161" s="56"/>
      <c r="J161" s="45"/>
      <c r="K161" s="45"/>
      <c r="L161" s="45"/>
      <c r="M161" s="45"/>
      <c r="N161" s="45"/>
      <c r="O161" s="45"/>
      <c r="P161" s="45"/>
      <c r="Q161" s="45"/>
      <c r="R161" s="45"/>
      <c r="S161" s="45"/>
      <c r="T161" s="45"/>
      <c r="U161" s="45"/>
    </row>
    <row r="162" spans="1:21">
      <c r="A162" s="45"/>
      <c r="B162" s="45"/>
      <c r="C162" s="45"/>
      <c r="D162" s="45"/>
      <c r="E162" s="45"/>
      <c r="F162" s="45"/>
      <c r="G162" s="45"/>
      <c r="H162" s="45"/>
      <c r="I162" s="56"/>
      <c r="J162" s="45"/>
      <c r="K162" s="45"/>
      <c r="L162" s="45"/>
      <c r="M162" s="45"/>
      <c r="N162" s="45"/>
      <c r="O162" s="45"/>
      <c r="P162" s="45"/>
      <c r="Q162" s="45"/>
      <c r="R162" s="45"/>
      <c r="S162" s="45"/>
      <c r="T162" s="45"/>
      <c r="U162" s="45"/>
    </row>
    <row r="163" spans="1:21">
      <c r="A163" s="45"/>
      <c r="B163" s="45"/>
      <c r="C163" s="45"/>
      <c r="D163" s="45"/>
      <c r="E163" s="45"/>
      <c r="F163" s="45"/>
      <c r="G163" s="45"/>
      <c r="H163" s="45"/>
      <c r="I163" s="56"/>
      <c r="J163" s="45"/>
      <c r="K163" s="45"/>
      <c r="L163" s="45"/>
      <c r="M163" s="45"/>
      <c r="N163" s="45"/>
      <c r="O163" s="45"/>
      <c r="P163" s="45"/>
      <c r="Q163" s="45"/>
      <c r="R163" s="45"/>
      <c r="S163" s="45"/>
      <c r="T163" s="45"/>
      <c r="U163" s="45"/>
    </row>
    <row r="164" spans="1:21">
      <c r="A164" s="45"/>
      <c r="B164" s="45"/>
      <c r="C164" s="45"/>
      <c r="D164" s="45"/>
      <c r="E164" s="45"/>
      <c r="F164" s="45"/>
      <c r="G164" s="45"/>
      <c r="H164" s="45"/>
      <c r="I164" s="56"/>
      <c r="J164" s="45"/>
      <c r="K164" s="45"/>
      <c r="L164" s="45"/>
      <c r="M164" s="45"/>
      <c r="N164" s="45"/>
      <c r="O164" s="45"/>
      <c r="P164" s="45"/>
      <c r="Q164" s="45"/>
      <c r="R164" s="45"/>
      <c r="S164" s="45"/>
      <c r="T164" s="45"/>
      <c r="U164" s="45"/>
    </row>
    <row r="165" spans="1:21">
      <c r="A165" s="45"/>
      <c r="B165" s="45"/>
      <c r="C165" s="45"/>
      <c r="D165" s="45"/>
      <c r="E165" s="45"/>
      <c r="F165" s="45"/>
      <c r="G165" s="45"/>
      <c r="H165" s="45"/>
      <c r="I165" s="56"/>
      <c r="J165" s="45"/>
      <c r="K165" s="45"/>
      <c r="L165" s="45"/>
      <c r="M165" s="45"/>
      <c r="N165" s="45"/>
      <c r="O165" s="45"/>
      <c r="P165" s="45"/>
      <c r="Q165" s="45"/>
      <c r="R165" s="45"/>
      <c r="S165" s="45"/>
      <c r="T165" s="45"/>
      <c r="U165" s="45"/>
    </row>
    <row r="166" spans="1:21">
      <c r="A166" s="45"/>
      <c r="B166" s="45"/>
      <c r="C166" s="45"/>
      <c r="D166" s="45"/>
      <c r="E166" s="45"/>
      <c r="F166" s="45"/>
      <c r="G166" s="45"/>
      <c r="H166" s="45"/>
      <c r="I166" s="56"/>
      <c r="J166" s="45"/>
      <c r="K166" s="45"/>
      <c r="L166" s="45"/>
      <c r="M166" s="45"/>
      <c r="N166" s="45"/>
      <c r="O166" s="45"/>
      <c r="P166" s="45"/>
      <c r="Q166" s="45"/>
      <c r="R166" s="45"/>
      <c r="S166" s="45"/>
      <c r="T166" s="45"/>
      <c r="U166" s="45"/>
    </row>
    <row r="167" spans="1:21">
      <c r="A167" s="45"/>
      <c r="B167" s="45"/>
      <c r="C167" s="45"/>
      <c r="D167" s="45"/>
      <c r="E167" s="45"/>
      <c r="F167" s="45"/>
      <c r="G167" s="45"/>
      <c r="H167" s="45"/>
      <c r="I167" s="56"/>
      <c r="J167" s="45"/>
      <c r="K167" s="45"/>
      <c r="L167" s="45"/>
      <c r="M167" s="45"/>
      <c r="N167" s="45"/>
      <c r="O167" s="45"/>
      <c r="P167" s="45"/>
      <c r="Q167" s="45"/>
      <c r="R167" s="45"/>
      <c r="S167" s="45"/>
      <c r="T167" s="45"/>
      <c r="U167" s="45"/>
    </row>
    <row r="168" spans="1:21">
      <c r="A168" s="45"/>
      <c r="B168" s="45"/>
      <c r="C168" s="45"/>
      <c r="D168" s="45"/>
      <c r="E168" s="45"/>
      <c r="F168" s="45"/>
      <c r="G168" s="45"/>
      <c r="H168" s="45"/>
      <c r="I168" s="56"/>
      <c r="J168" s="45"/>
      <c r="K168" s="45"/>
      <c r="L168" s="45"/>
      <c r="M168" s="45"/>
      <c r="N168" s="45"/>
      <c r="O168" s="45"/>
      <c r="P168" s="45"/>
      <c r="Q168" s="45"/>
      <c r="R168" s="45"/>
      <c r="S168" s="45"/>
      <c r="T168" s="45"/>
      <c r="U168" s="45"/>
    </row>
    <row r="169" spans="1:21">
      <c r="A169" s="45"/>
      <c r="B169" s="45"/>
      <c r="C169" s="45"/>
      <c r="D169" s="45"/>
      <c r="E169" s="45"/>
      <c r="F169" s="45"/>
      <c r="G169" s="45"/>
      <c r="H169" s="45"/>
      <c r="I169" s="56"/>
      <c r="J169" s="45"/>
      <c r="K169" s="45"/>
      <c r="L169" s="45"/>
      <c r="M169" s="45"/>
      <c r="N169" s="45"/>
      <c r="O169" s="45"/>
      <c r="P169" s="45"/>
      <c r="Q169" s="45"/>
      <c r="R169" s="45"/>
      <c r="S169" s="45"/>
      <c r="T169" s="45"/>
      <c r="U169" s="45"/>
    </row>
    <row r="170" spans="1:21">
      <c r="A170" s="45"/>
      <c r="B170" s="45"/>
      <c r="C170" s="45"/>
      <c r="D170" s="45"/>
      <c r="E170" s="45"/>
      <c r="F170" s="45"/>
      <c r="G170" s="45"/>
      <c r="H170" s="45"/>
      <c r="I170" s="56"/>
      <c r="J170" s="45"/>
      <c r="K170" s="45"/>
      <c r="L170" s="45"/>
      <c r="M170" s="45"/>
      <c r="N170" s="45"/>
      <c r="O170" s="45"/>
      <c r="P170" s="45"/>
      <c r="Q170" s="45"/>
      <c r="R170" s="45"/>
      <c r="S170" s="45"/>
      <c r="T170" s="45"/>
      <c r="U170" s="45"/>
    </row>
    <row r="171" spans="1:21">
      <c r="A171" s="45"/>
      <c r="B171" s="45"/>
      <c r="C171" s="45"/>
      <c r="D171" s="45"/>
      <c r="E171" s="45"/>
      <c r="F171" s="45"/>
      <c r="G171" s="45"/>
      <c r="H171" s="45"/>
      <c r="I171" s="56"/>
      <c r="J171" s="45"/>
      <c r="K171" s="45"/>
      <c r="L171" s="45"/>
      <c r="M171" s="45"/>
      <c r="N171" s="45"/>
      <c r="O171" s="45"/>
      <c r="P171" s="45"/>
      <c r="Q171" s="45"/>
      <c r="R171" s="45"/>
      <c r="S171" s="45"/>
      <c r="T171" s="45"/>
      <c r="U171" s="45"/>
    </row>
    <row r="172" spans="1:21">
      <c r="A172" s="45"/>
      <c r="B172" s="45"/>
      <c r="C172" s="45"/>
      <c r="D172" s="45"/>
      <c r="E172" s="45"/>
      <c r="F172" s="45"/>
      <c r="G172" s="45"/>
      <c r="H172" s="45"/>
      <c r="I172" s="56"/>
      <c r="J172" s="45"/>
      <c r="K172" s="45"/>
      <c r="L172" s="45"/>
      <c r="M172" s="45"/>
      <c r="N172" s="45"/>
      <c r="O172" s="45"/>
      <c r="P172" s="45"/>
      <c r="Q172" s="45"/>
      <c r="R172" s="45"/>
      <c r="S172" s="45"/>
      <c r="T172" s="45"/>
      <c r="U172" s="45"/>
    </row>
    <row r="173" spans="1:21">
      <c r="A173" s="45"/>
      <c r="B173" s="45"/>
      <c r="C173" s="45"/>
      <c r="D173" s="45"/>
      <c r="E173" s="45"/>
      <c r="F173" s="45"/>
      <c r="G173" s="45"/>
      <c r="H173" s="45"/>
      <c r="I173" s="56"/>
      <c r="J173" s="45"/>
      <c r="K173" s="45"/>
      <c r="L173" s="45"/>
      <c r="M173" s="45"/>
      <c r="N173" s="45"/>
      <c r="O173" s="45"/>
      <c r="P173" s="45"/>
      <c r="Q173" s="45"/>
      <c r="R173" s="45"/>
      <c r="S173" s="45"/>
      <c r="T173" s="45"/>
      <c r="U173" s="45"/>
    </row>
    <row r="174" spans="1:21">
      <c r="A174" s="45"/>
      <c r="B174" s="45"/>
      <c r="C174" s="45"/>
      <c r="D174" s="45"/>
      <c r="E174" s="45"/>
      <c r="F174" s="45"/>
      <c r="G174" s="45"/>
      <c r="H174" s="45"/>
      <c r="I174" s="56"/>
      <c r="J174" s="45"/>
      <c r="K174" s="45"/>
      <c r="L174" s="45"/>
      <c r="M174" s="45"/>
      <c r="N174" s="45"/>
      <c r="O174" s="45"/>
      <c r="P174" s="45"/>
      <c r="Q174" s="45"/>
      <c r="R174" s="45"/>
      <c r="S174" s="45"/>
      <c r="T174" s="45"/>
      <c r="U174" s="45"/>
    </row>
    <row r="175" spans="1:21">
      <c r="A175" s="45"/>
      <c r="B175" s="45"/>
      <c r="C175" s="45"/>
      <c r="D175" s="45"/>
      <c r="E175" s="45"/>
      <c r="F175" s="45"/>
      <c r="G175" s="45"/>
      <c r="H175" s="45"/>
      <c r="I175" s="56"/>
      <c r="J175" s="45"/>
      <c r="K175" s="45"/>
      <c r="L175" s="45"/>
      <c r="M175" s="45"/>
      <c r="N175" s="45"/>
      <c r="O175" s="45"/>
      <c r="P175" s="45"/>
      <c r="Q175" s="45"/>
      <c r="R175" s="45"/>
      <c r="S175" s="45"/>
      <c r="T175" s="45"/>
      <c r="U175" s="45"/>
    </row>
    <row r="176" spans="1:21">
      <c r="A176" s="45"/>
      <c r="B176" s="45"/>
      <c r="C176" s="45"/>
      <c r="D176" s="45"/>
      <c r="E176" s="45"/>
      <c r="F176" s="45"/>
      <c r="G176" s="45"/>
      <c r="H176" s="45"/>
      <c r="I176" s="56"/>
      <c r="J176" s="45"/>
      <c r="K176" s="45"/>
      <c r="L176" s="45"/>
      <c r="M176" s="45"/>
      <c r="N176" s="45"/>
      <c r="O176" s="45"/>
      <c r="P176" s="45"/>
      <c r="Q176" s="45"/>
      <c r="R176" s="45"/>
      <c r="S176" s="45"/>
      <c r="T176" s="45"/>
      <c r="U176" s="45"/>
    </row>
    <row r="177" spans="1:21">
      <c r="A177" s="45"/>
      <c r="B177" s="45"/>
      <c r="C177" s="45"/>
      <c r="D177" s="45"/>
      <c r="E177" s="45"/>
      <c r="F177" s="45"/>
      <c r="G177" s="45"/>
      <c r="H177" s="45"/>
      <c r="I177" s="56"/>
      <c r="J177" s="45"/>
      <c r="K177" s="45"/>
      <c r="L177" s="45"/>
      <c r="M177" s="45"/>
      <c r="N177" s="45"/>
      <c r="O177" s="45"/>
      <c r="P177" s="45"/>
      <c r="Q177" s="45"/>
      <c r="R177" s="45"/>
      <c r="S177" s="45"/>
      <c r="T177" s="45"/>
      <c r="U177" s="45"/>
    </row>
    <row r="178" spans="1:21">
      <c r="A178" s="45"/>
      <c r="B178" s="45"/>
      <c r="C178" s="45"/>
      <c r="D178" s="45"/>
      <c r="E178" s="45"/>
      <c r="F178" s="45"/>
      <c r="G178" s="45"/>
      <c r="H178" s="45"/>
      <c r="I178" s="56"/>
      <c r="J178" s="45"/>
      <c r="K178" s="45"/>
      <c r="L178" s="45"/>
      <c r="M178" s="45"/>
      <c r="N178" s="45"/>
      <c r="O178" s="45"/>
      <c r="P178" s="45"/>
      <c r="Q178" s="45"/>
      <c r="R178" s="45"/>
      <c r="S178" s="45"/>
      <c r="T178" s="45"/>
      <c r="U178" s="45"/>
    </row>
    <row r="179" spans="1:21">
      <c r="A179" s="45"/>
      <c r="B179" s="45"/>
      <c r="C179" s="45"/>
      <c r="D179" s="45"/>
      <c r="E179" s="45"/>
      <c r="F179" s="45"/>
      <c r="G179" s="45"/>
      <c r="H179" s="45"/>
      <c r="I179" s="56"/>
      <c r="J179" s="45"/>
      <c r="K179" s="45"/>
      <c r="L179" s="45"/>
      <c r="M179" s="45"/>
      <c r="N179" s="45"/>
      <c r="O179" s="45"/>
      <c r="P179" s="45"/>
      <c r="Q179" s="45"/>
      <c r="R179" s="45"/>
      <c r="S179" s="45"/>
      <c r="T179" s="45"/>
      <c r="U179" s="45"/>
    </row>
    <row r="180" spans="1:21">
      <c r="A180" s="45"/>
      <c r="B180" s="45"/>
      <c r="C180" s="45"/>
      <c r="D180" s="45"/>
      <c r="E180" s="45"/>
      <c r="F180" s="45"/>
      <c r="G180" s="45"/>
      <c r="H180" s="45"/>
      <c r="I180" s="56"/>
      <c r="J180" s="45"/>
      <c r="K180" s="45"/>
      <c r="L180" s="45"/>
      <c r="M180" s="45"/>
      <c r="N180" s="45"/>
      <c r="O180" s="45"/>
      <c r="P180" s="45"/>
      <c r="Q180" s="45"/>
      <c r="R180" s="45"/>
      <c r="S180" s="45"/>
      <c r="T180" s="45"/>
      <c r="U180" s="45"/>
    </row>
    <row r="181" spans="1:21">
      <c r="A181" s="45"/>
      <c r="B181" s="45"/>
      <c r="C181" s="45"/>
      <c r="D181" s="45"/>
      <c r="E181" s="45"/>
      <c r="F181" s="45"/>
      <c r="G181" s="45"/>
      <c r="H181" s="45"/>
      <c r="I181" s="56"/>
      <c r="J181" s="45"/>
      <c r="K181" s="45"/>
      <c r="L181" s="45"/>
      <c r="M181" s="45"/>
      <c r="N181" s="45"/>
      <c r="O181" s="45"/>
      <c r="P181" s="45"/>
      <c r="Q181" s="45"/>
      <c r="R181" s="45"/>
      <c r="S181" s="45"/>
      <c r="T181" s="45"/>
      <c r="U181" s="45"/>
    </row>
    <row r="182" spans="1:21">
      <c r="A182" s="45"/>
      <c r="B182" s="45"/>
      <c r="C182" s="45"/>
      <c r="D182" s="45"/>
      <c r="E182" s="45"/>
      <c r="F182" s="45"/>
      <c r="G182" s="45"/>
      <c r="H182" s="45"/>
      <c r="I182" s="56"/>
      <c r="J182" s="45"/>
      <c r="K182" s="45"/>
      <c r="L182" s="45"/>
      <c r="M182" s="45"/>
      <c r="N182" s="45"/>
      <c r="O182" s="45"/>
      <c r="P182" s="45"/>
      <c r="Q182" s="45"/>
      <c r="R182" s="45"/>
      <c r="S182" s="45"/>
      <c r="T182" s="45"/>
      <c r="U182" s="45"/>
    </row>
    <row r="183" spans="1:21">
      <c r="A183" s="45"/>
      <c r="B183" s="45"/>
      <c r="C183" s="45"/>
      <c r="D183" s="45"/>
      <c r="E183" s="45"/>
      <c r="F183" s="45"/>
      <c r="G183" s="45"/>
      <c r="H183" s="45"/>
      <c r="I183" s="56"/>
      <c r="J183" s="45"/>
      <c r="K183" s="45"/>
      <c r="L183" s="45"/>
      <c r="M183" s="45"/>
      <c r="N183" s="45"/>
      <c r="O183" s="45"/>
      <c r="P183" s="45"/>
      <c r="Q183" s="45"/>
      <c r="R183" s="45"/>
      <c r="S183" s="45"/>
      <c r="T183" s="45"/>
      <c r="U183" s="45"/>
    </row>
    <row r="184" spans="1:21">
      <c r="A184" s="45"/>
      <c r="B184" s="45"/>
      <c r="C184" s="45"/>
      <c r="D184" s="45"/>
      <c r="E184" s="45"/>
      <c r="F184" s="45"/>
      <c r="G184" s="45"/>
      <c r="H184" s="45"/>
      <c r="I184" s="56"/>
      <c r="J184" s="45"/>
      <c r="K184" s="45"/>
      <c r="L184" s="45"/>
      <c r="M184" s="45"/>
      <c r="N184" s="45"/>
      <c r="O184" s="45"/>
      <c r="P184" s="45"/>
      <c r="Q184" s="45"/>
      <c r="R184" s="45"/>
      <c r="S184" s="45"/>
      <c r="T184" s="45"/>
      <c r="U184" s="45"/>
    </row>
    <row r="185" spans="1:21">
      <c r="A185" s="45"/>
      <c r="B185" s="45"/>
      <c r="C185" s="45"/>
      <c r="D185" s="45"/>
      <c r="E185" s="45"/>
      <c r="F185" s="45"/>
      <c r="G185" s="45"/>
      <c r="H185" s="45"/>
      <c r="I185" s="56"/>
      <c r="J185" s="45"/>
      <c r="K185" s="45"/>
      <c r="L185" s="45"/>
      <c r="M185" s="45"/>
      <c r="N185" s="45"/>
      <c r="O185" s="45"/>
      <c r="P185" s="45"/>
      <c r="Q185" s="45"/>
      <c r="R185" s="45"/>
      <c r="S185" s="45"/>
      <c r="T185" s="45"/>
      <c r="U185" s="45"/>
    </row>
    <row r="186" spans="1:21">
      <c r="A186" s="45"/>
      <c r="B186" s="45"/>
      <c r="C186" s="45"/>
      <c r="D186" s="45"/>
      <c r="E186" s="45"/>
      <c r="F186" s="45"/>
      <c r="G186" s="45"/>
      <c r="H186" s="45"/>
      <c r="I186" s="56"/>
      <c r="J186" s="45"/>
      <c r="K186" s="45"/>
      <c r="L186" s="45"/>
      <c r="M186" s="45"/>
      <c r="N186" s="45"/>
      <c r="O186" s="45"/>
      <c r="P186" s="45"/>
      <c r="Q186" s="45"/>
      <c r="R186" s="45"/>
      <c r="S186" s="45"/>
      <c r="T186" s="45"/>
      <c r="U186" s="45"/>
    </row>
    <row r="187" spans="1:21">
      <c r="A187" s="45"/>
      <c r="B187" s="45"/>
      <c r="C187" s="45"/>
      <c r="D187" s="45"/>
      <c r="E187" s="45"/>
      <c r="F187" s="45"/>
      <c r="G187" s="45"/>
      <c r="H187" s="45"/>
      <c r="I187" s="56"/>
      <c r="J187" s="45"/>
      <c r="K187" s="45"/>
      <c r="L187" s="45"/>
      <c r="M187" s="45"/>
      <c r="N187" s="45"/>
      <c r="O187" s="45"/>
      <c r="P187" s="45"/>
      <c r="Q187" s="45"/>
      <c r="R187" s="45"/>
      <c r="S187" s="45"/>
      <c r="T187" s="45"/>
      <c r="U187" s="45"/>
    </row>
    <row r="188" spans="1:21">
      <c r="A188" s="45"/>
      <c r="B188" s="45"/>
      <c r="C188" s="45"/>
      <c r="D188" s="45"/>
      <c r="E188" s="45"/>
      <c r="F188" s="45"/>
      <c r="G188" s="45"/>
      <c r="H188" s="45"/>
      <c r="I188" s="56"/>
      <c r="J188" s="45"/>
      <c r="K188" s="45"/>
      <c r="L188" s="45"/>
      <c r="M188" s="45"/>
      <c r="N188" s="45"/>
      <c r="O188" s="45"/>
      <c r="P188" s="45"/>
      <c r="Q188" s="45"/>
      <c r="R188" s="45"/>
      <c r="S188" s="45"/>
      <c r="T188" s="45"/>
      <c r="U188" s="45"/>
    </row>
    <row r="189" spans="1:21">
      <c r="A189" s="45"/>
      <c r="B189" s="45"/>
      <c r="C189" s="45"/>
      <c r="D189" s="45"/>
      <c r="E189" s="45"/>
      <c r="F189" s="45"/>
      <c r="G189" s="45"/>
      <c r="H189" s="45"/>
      <c r="I189" s="56"/>
      <c r="J189" s="45"/>
      <c r="K189" s="45"/>
      <c r="L189" s="45"/>
      <c r="M189" s="45"/>
      <c r="N189" s="45"/>
      <c r="O189" s="45"/>
      <c r="P189" s="45"/>
      <c r="Q189" s="45"/>
      <c r="R189" s="45"/>
      <c r="S189" s="45"/>
      <c r="T189" s="45"/>
      <c r="U189" s="45"/>
    </row>
    <row r="190" spans="1:21">
      <c r="A190" s="45"/>
      <c r="B190" s="45"/>
      <c r="C190" s="45"/>
      <c r="D190" s="45"/>
      <c r="E190" s="45"/>
      <c r="F190" s="45"/>
      <c r="G190" s="45"/>
      <c r="H190" s="45"/>
      <c r="I190" s="56"/>
      <c r="J190" s="45"/>
      <c r="K190" s="45"/>
      <c r="L190" s="45"/>
      <c r="M190" s="45"/>
      <c r="N190" s="45"/>
      <c r="O190" s="45"/>
      <c r="P190" s="45"/>
      <c r="Q190" s="45"/>
      <c r="R190" s="45"/>
      <c r="S190" s="45"/>
      <c r="T190" s="45"/>
      <c r="U190" s="45"/>
    </row>
    <row r="191" spans="1:21">
      <c r="A191" s="45"/>
      <c r="B191" s="45"/>
      <c r="C191" s="45"/>
      <c r="D191" s="45"/>
      <c r="E191" s="45"/>
      <c r="F191" s="45"/>
      <c r="G191" s="45"/>
      <c r="H191" s="45"/>
      <c r="I191" s="56"/>
      <c r="J191" s="45"/>
      <c r="K191" s="45"/>
      <c r="L191" s="45"/>
      <c r="M191" s="45"/>
      <c r="N191" s="45"/>
      <c r="O191" s="45"/>
      <c r="P191" s="45"/>
      <c r="Q191" s="45"/>
      <c r="R191" s="45"/>
      <c r="S191" s="45"/>
      <c r="T191" s="45"/>
      <c r="U191" s="45"/>
    </row>
    <row r="192" spans="1:21">
      <c r="A192" s="45"/>
      <c r="B192" s="45"/>
      <c r="C192" s="45"/>
      <c r="D192" s="45"/>
      <c r="E192" s="45"/>
      <c r="F192" s="45"/>
      <c r="G192" s="45"/>
      <c r="H192" s="45"/>
      <c r="I192" s="56"/>
      <c r="J192" s="45"/>
      <c r="K192" s="45"/>
      <c r="L192" s="45"/>
      <c r="M192" s="45"/>
      <c r="N192" s="45"/>
      <c r="O192" s="45"/>
      <c r="P192" s="45"/>
      <c r="Q192" s="45"/>
      <c r="R192" s="45"/>
      <c r="S192" s="45"/>
      <c r="T192" s="45"/>
      <c r="U192" s="45"/>
    </row>
    <row r="193" spans="1:21">
      <c r="A193" s="45"/>
      <c r="B193" s="45"/>
      <c r="C193" s="45"/>
      <c r="D193" s="45"/>
      <c r="E193" s="45"/>
      <c r="F193" s="45"/>
      <c r="G193" s="45"/>
      <c r="H193" s="45"/>
      <c r="I193" s="56"/>
      <c r="J193" s="45"/>
      <c r="K193" s="45"/>
      <c r="L193" s="45"/>
      <c r="M193" s="45"/>
      <c r="N193" s="45"/>
      <c r="O193" s="45"/>
      <c r="P193" s="45"/>
      <c r="Q193" s="45"/>
      <c r="R193" s="45"/>
      <c r="S193" s="45"/>
      <c r="T193" s="45"/>
      <c r="U193" s="45"/>
    </row>
    <row r="194" spans="1:21">
      <c r="A194" s="45"/>
      <c r="B194" s="45"/>
      <c r="C194" s="45"/>
      <c r="D194" s="45"/>
      <c r="E194" s="45"/>
      <c r="F194" s="45"/>
      <c r="G194" s="45"/>
      <c r="H194" s="45"/>
      <c r="I194" s="56"/>
      <c r="J194" s="45"/>
      <c r="K194" s="45"/>
      <c r="L194" s="45"/>
      <c r="M194" s="45"/>
      <c r="N194" s="45"/>
      <c r="O194" s="45"/>
      <c r="P194" s="45"/>
      <c r="Q194" s="45"/>
      <c r="R194" s="45"/>
      <c r="S194" s="45"/>
      <c r="T194" s="45"/>
      <c r="U194" s="45"/>
    </row>
    <row r="195" spans="1:21">
      <c r="A195" s="45"/>
      <c r="B195" s="45"/>
      <c r="C195" s="45"/>
      <c r="D195" s="45"/>
      <c r="E195" s="45"/>
      <c r="F195" s="45"/>
      <c r="G195" s="45"/>
      <c r="H195" s="45"/>
      <c r="I195" s="56"/>
      <c r="J195" s="45"/>
      <c r="K195" s="45"/>
      <c r="L195" s="45"/>
      <c r="M195" s="45"/>
      <c r="N195" s="45"/>
      <c r="O195" s="45"/>
      <c r="P195" s="45"/>
      <c r="Q195" s="45"/>
      <c r="R195" s="45"/>
      <c r="S195" s="45"/>
      <c r="T195" s="45"/>
      <c r="U195" s="45"/>
    </row>
    <row r="196" spans="1:21">
      <c r="A196" s="45"/>
      <c r="B196" s="45"/>
      <c r="C196" s="45"/>
      <c r="D196" s="45"/>
      <c r="E196" s="45"/>
      <c r="F196" s="45"/>
      <c r="G196" s="45"/>
      <c r="H196" s="45"/>
      <c r="I196" s="56"/>
      <c r="J196" s="45"/>
      <c r="K196" s="45"/>
      <c r="L196" s="45"/>
      <c r="M196" s="45"/>
      <c r="N196" s="45"/>
      <c r="O196" s="45"/>
      <c r="P196" s="45"/>
      <c r="Q196" s="45"/>
      <c r="R196" s="45"/>
      <c r="S196" s="45"/>
      <c r="T196" s="45"/>
      <c r="U196" s="45"/>
    </row>
    <row r="197" spans="1:21">
      <c r="A197" s="45"/>
      <c r="B197" s="45"/>
      <c r="C197" s="45"/>
      <c r="D197" s="45"/>
      <c r="E197" s="45"/>
      <c r="F197" s="45"/>
      <c r="G197" s="45"/>
      <c r="H197" s="45"/>
      <c r="I197" s="56"/>
      <c r="J197" s="45"/>
      <c r="K197" s="45"/>
      <c r="L197" s="45"/>
      <c r="M197" s="45"/>
      <c r="N197" s="45"/>
      <c r="O197" s="45"/>
      <c r="P197" s="45"/>
      <c r="Q197" s="45"/>
      <c r="R197" s="45"/>
      <c r="S197" s="45"/>
      <c r="T197" s="45"/>
      <c r="U197" s="45"/>
    </row>
    <row r="198" spans="1:21">
      <c r="A198" s="45"/>
      <c r="B198" s="45"/>
      <c r="C198" s="45"/>
      <c r="D198" s="45"/>
      <c r="E198" s="45"/>
      <c r="F198" s="45"/>
      <c r="G198" s="45"/>
      <c r="H198" s="45"/>
      <c r="I198" s="56"/>
      <c r="J198" s="45"/>
      <c r="K198" s="45"/>
      <c r="L198" s="45"/>
      <c r="M198" s="45"/>
      <c r="N198" s="45"/>
      <c r="O198" s="45"/>
      <c r="P198" s="45"/>
      <c r="Q198" s="45"/>
      <c r="R198" s="45"/>
      <c r="S198" s="45"/>
      <c r="T198" s="45"/>
      <c r="U198" s="45"/>
    </row>
    <row r="199" spans="1:21">
      <c r="A199" s="45"/>
      <c r="B199" s="45"/>
      <c r="C199" s="45"/>
      <c r="D199" s="45"/>
      <c r="E199" s="45"/>
      <c r="F199" s="45"/>
      <c r="G199" s="45"/>
      <c r="H199" s="45"/>
      <c r="I199" s="56"/>
      <c r="J199" s="45"/>
      <c r="K199" s="45"/>
      <c r="L199" s="45"/>
      <c r="M199" s="45"/>
      <c r="N199" s="45"/>
      <c r="O199" s="45"/>
      <c r="P199" s="45"/>
      <c r="Q199" s="45"/>
      <c r="R199" s="45"/>
      <c r="S199" s="45"/>
      <c r="T199" s="45"/>
      <c r="U199" s="45"/>
    </row>
    <row r="200" spans="1:21">
      <c r="A200" s="45"/>
      <c r="B200" s="45"/>
      <c r="C200" s="45"/>
      <c r="D200" s="45"/>
      <c r="E200" s="45"/>
      <c r="F200" s="45"/>
      <c r="G200" s="45"/>
      <c r="H200" s="45"/>
      <c r="I200" s="56"/>
      <c r="J200" s="45"/>
      <c r="K200" s="45"/>
      <c r="L200" s="45"/>
      <c r="M200" s="45"/>
      <c r="N200" s="45"/>
      <c r="O200" s="45"/>
      <c r="P200" s="45"/>
      <c r="Q200" s="45"/>
      <c r="R200" s="45"/>
      <c r="S200" s="45"/>
      <c r="T200" s="45"/>
      <c r="U200" s="45"/>
    </row>
    <row r="201" spans="1:21">
      <c r="A201" s="45"/>
      <c r="B201" s="45"/>
      <c r="C201" s="45"/>
      <c r="D201" s="45"/>
      <c r="E201" s="45"/>
      <c r="F201" s="45"/>
      <c r="G201" s="45"/>
      <c r="H201" s="45"/>
      <c r="I201" s="56"/>
      <c r="J201" s="45"/>
      <c r="K201" s="45"/>
      <c r="L201" s="45"/>
      <c r="M201" s="45"/>
      <c r="N201" s="45"/>
      <c r="O201" s="45"/>
      <c r="P201" s="45"/>
      <c r="Q201" s="45"/>
      <c r="R201" s="45"/>
      <c r="S201" s="45"/>
      <c r="T201" s="45"/>
      <c r="U201" s="45"/>
    </row>
    <row r="202" spans="1:21">
      <c r="A202" s="45"/>
      <c r="B202" s="45"/>
      <c r="C202" s="45"/>
      <c r="D202" s="45"/>
      <c r="E202" s="45"/>
      <c r="F202" s="45"/>
      <c r="G202" s="45"/>
      <c r="H202" s="45"/>
      <c r="I202" s="56"/>
      <c r="J202" s="45"/>
      <c r="K202" s="45"/>
      <c r="L202" s="45"/>
      <c r="M202" s="45"/>
      <c r="N202" s="45"/>
      <c r="O202" s="45"/>
      <c r="P202" s="45"/>
      <c r="Q202" s="45"/>
      <c r="R202" s="45"/>
      <c r="S202" s="45"/>
      <c r="T202" s="45"/>
      <c r="U202" s="45"/>
    </row>
    <row r="203" spans="1:21">
      <c r="A203" s="45"/>
      <c r="B203" s="45"/>
      <c r="C203" s="45"/>
      <c r="D203" s="45"/>
      <c r="E203" s="45"/>
      <c r="F203" s="45"/>
      <c r="G203" s="45"/>
      <c r="H203" s="45"/>
      <c r="I203" s="56"/>
      <c r="J203" s="45"/>
      <c r="K203" s="45"/>
      <c r="L203" s="45"/>
      <c r="M203" s="45"/>
      <c r="N203" s="45"/>
      <c r="O203" s="45"/>
      <c r="P203" s="45"/>
      <c r="Q203" s="45"/>
      <c r="R203" s="45"/>
      <c r="S203" s="45"/>
      <c r="T203" s="45"/>
      <c r="U203" s="45"/>
    </row>
    <row r="204" spans="1:21">
      <c r="A204" s="45"/>
      <c r="B204" s="45"/>
      <c r="C204" s="45"/>
      <c r="D204" s="45"/>
      <c r="E204" s="45"/>
      <c r="F204" s="45"/>
      <c r="G204" s="45"/>
      <c r="H204" s="45"/>
      <c r="I204" s="56"/>
      <c r="J204" s="45"/>
      <c r="K204" s="45"/>
      <c r="L204" s="45"/>
      <c r="M204" s="45"/>
      <c r="N204" s="45"/>
      <c r="O204" s="45"/>
      <c r="P204" s="45"/>
      <c r="Q204" s="45"/>
      <c r="R204" s="45"/>
      <c r="S204" s="45"/>
      <c r="T204" s="45"/>
      <c r="U204" s="45"/>
    </row>
    <row r="205" spans="1:21">
      <c r="A205" s="45"/>
      <c r="B205" s="45"/>
      <c r="C205" s="45"/>
      <c r="D205" s="45"/>
      <c r="E205" s="45"/>
      <c r="F205" s="45"/>
      <c r="G205" s="45"/>
      <c r="H205" s="45"/>
      <c r="I205" s="56"/>
      <c r="J205" s="45"/>
      <c r="K205" s="45"/>
      <c r="L205" s="45"/>
      <c r="M205" s="45"/>
      <c r="N205" s="45"/>
      <c r="O205" s="45"/>
      <c r="P205" s="45"/>
      <c r="Q205" s="45"/>
      <c r="R205" s="45"/>
      <c r="S205" s="45"/>
      <c r="T205" s="45"/>
      <c r="U205" s="45"/>
    </row>
    <row r="206" spans="1:21">
      <c r="A206" s="45"/>
      <c r="B206" s="45"/>
      <c r="C206" s="45"/>
      <c r="D206" s="45"/>
      <c r="E206" s="45"/>
      <c r="F206" s="45"/>
      <c r="G206" s="45"/>
      <c r="H206" s="45"/>
      <c r="I206" s="56"/>
      <c r="J206" s="45"/>
      <c r="K206" s="45"/>
      <c r="L206" s="45"/>
      <c r="M206" s="45"/>
      <c r="N206" s="45"/>
      <c r="O206" s="45"/>
      <c r="P206" s="45"/>
      <c r="Q206" s="45"/>
      <c r="R206" s="45"/>
      <c r="S206" s="45"/>
      <c r="T206" s="45"/>
      <c r="U206" s="45"/>
    </row>
    <row r="207" spans="1:21">
      <c r="A207" s="45"/>
      <c r="B207" s="45"/>
      <c r="C207" s="45"/>
      <c r="D207" s="45"/>
      <c r="E207" s="45"/>
      <c r="F207" s="45"/>
      <c r="G207" s="45"/>
      <c r="H207" s="45"/>
      <c r="I207" s="56"/>
      <c r="J207" s="45"/>
      <c r="K207" s="45"/>
      <c r="L207" s="45"/>
      <c r="M207" s="45"/>
      <c r="N207" s="45"/>
      <c r="O207" s="45"/>
      <c r="P207" s="45"/>
      <c r="Q207" s="45"/>
      <c r="R207" s="45"/>
      <c r="S207" s="45"/>
      <c r="T207" s="45"/>
      <c r="U207" s="45"/>
    </row>
    <row r="208" spans="1:21">
      <c r="A208" s="45"/>
      <c r="B208" s="45"/>
      <c r="C208" s="45"/>
      <c r="D208" s="45"/>
      <c r="E208" s="45"/>
      <c r="F208" s="45"/>
      <c r="G208" s="45"/>
      <c r="H208" s="45"/>
      <c r="I208" s="56"/>
      <c r="J208" s="45"/>
      <c r="K208" s="45"/>
      <c r="L208" s="45"/>
      <c r="M208" s="45"/>
      <c r="N208" s="45"/>
      <c r="O208" s="45"/>
      <c r="P208" s="45"/>
      <c r="Q208" s="45"/>
      <c r="R208" s="45"/>
      <c r="S208" s="45"/>
      <c r="T208" s="45"/>
      <c r="U208" s="45"/>
    </row>
    <row r="209" spans="1:21">
      <c r="A209" s="45"/>
      <c r="B209" s="45"/>
      <c r="C209" s="45"/>
      <c r="D209" s="45"/>
      <c r="E209" s="45"/>
      <c r="F209" s="45"/>
      <c r="G209" s="45"/>
      <c r="H209" s="45"/>
      <c r="I209" s="56"/>
      <c r="J209" s="45"/>
      <c r="K209" s="45"/>
      <c r="L209" s="45"/>
      <c r="M209" s="45"/>
      <c r="N209" s="45"/>
      <c r="O209" s="45"/>
      <c r="P209" s="45"/>
      <c r="Q209" s="45"/>
      <c r="R209" s="45"/>
      <c r="S209" s="45"/>
      <c r="T209" s="45"/>
      <c r="U209" s="45"/>
    </row>
    <row r="210" spans="1:21">
      <c r="A210" s="45"/>
      <c r="B210" s="45"/>
      <c r="C210" s="45"/>
      <c r="D210" s="45"/>
      <c r="E210" s="45"/>
      <c r="F210" s="45"/>
      <c r="G210" s="45"/>
      <c r="H210" s="45"/>
      <c r="I210" s="56"/>
      <c r="J210" s="45"/>
      <c r="K210" s="45"/>
      <c r="L210" s="45"/>
      <c r="M210" s="45"/>
      <c r="N210" s="45"/>
      <c r="O210" s="45"/>
      <c r="P210" s="45"/>
      <c r="Q210" s="45"/>
      <c r="R210" s="45"/>
      <c r="S210" s="45"/>
      <c r="T210" s="45"/>
      <c r="U210" s="45"/>
    </row>
    <row r="211" spans="1:21">
      <c r="A211" s="45"/>
      <c r="B211" s="45"/>
      <c r="C211" s="45"/>
      <c r="D211" s="45"/>
      <c r="E211" s="45"/>
      <c r="F211" s="45"/>
      <c r="G211" s="45"/>
      <c r="H211" s="45"/>
      <c r="I211" s="56"/>
      <c r="J211" s="45"/>
      <c r="K211" s="45"/>
      <c r="L211" s="45"/>
      <c r="M211" s="45"/>
      <c r="N211" s="45"/>
      <c r="O211" s="45"/>
      <c r="P211" s="45"/>
      <c r="Q211" s="45"/>
      <c r="R211" s="45"/>
      <c r="S211" s="45"/>
      <c r="T211" s="45"/>
      <c r="U211" s="45"/>
    </row>
    <row r="212" spans="1:21">
      <c r="A212" s="45"/>
      <c r="B212" s="45"/>
      <c r="C212" s="45"/>
      <c r="D212" s="45"/>
      <c r="E212" s="45"/>
      <c r="F212" s="45"/>
      <c r="G212" s="45"/>
      <c r="H212" s="45"/>
      <c r="I212" s="56"/>
      <c r="J212" s="45"/>
      <c r="K212" s="45"/>
      <c r="L212" s="45"/>
      <c r="M212" s="45"/>
      <c r="N212" s="45"/>
      <c r="O212" s="45"/>
      <c r="P212" s="45"/>
      <c r="Q212" s="45"/>
      <c r="R212" s="45"/>
      <c r="S212" s="45"/>
      <c r="T212" s="45"/>
      <c r="U212" s="45"/>
    </row>
    <row r="213" spans="1:21">
      <c r="A213" s="45"/>
      <c r="B213" s="45"/>
      <c r="C213" s="45"/>
      <c r="D213" s="45"/>
      <c r="E213" s="45"/>
      <c r="F213" s="45"/>
      <c r="G213" s="45"/>
      <c r="H213" s="45"/>
      <c r="I213" s="56"/>
      <c r="J213" s="45"/>
      <c r="K213" s="45"/>
      <c r="L213" s="45"/>
      <c r="M213" s="45"/>
      <c r="N213" s="45"/>
      <c r="O213" s="45"/>
      <c r="P213" s="45"/>
      <c r="Q213" s="45"/>
      <c r="R213" s="45"/>
      <c r="S213" s="45"/>
      <c r="T213" s="45"/>
      <c r="U213" s="45"/>
    </row>
    <row r="214" spans="1:21">
      <c r="A214" s="45"/>
      <c r="B214" s="45"/>
      <c r="C214" s="45"/>
      <c r="D214" s="45"/>
      <c r="E214" s="45"/>
      <c r="F214" s="45"/>
      <c r="G214" s="45"/>
      <c r="H214" s="45"/>
      <c r="I214" s="56"/>
      <c r="J214" s="45"/>
      <c r="K214" s="45"/>
      <c r="L214" s="45"/>
      <c r="M214" s="45"/>
      <c r="N214" s="45"/>
      <c r="O214" s="45"/>
      <c r="P214" s="45"/>
      <c r="Q214" s="45"/>
      <c r="R214" s="45"/>
      <c r="S214" s="45"/>
      <c r="T214" s="45"/>
      <c r="U214" s="45"/>
    </row>
    <row r="215" spans="1:21">
      <c r="A215" s="45"/>
      <c r="B215" s="45"/>
      <c r="C215" s="45"/>
      <c r="D215" s="45"/>
      <c r="E215" s="45"/>
      <c r="F215" s="45"/>
      <c r="G215" s="45"/>
      <c r="H215" s="45"/>
      <c r="I215" s="56"/>
      <c r="J215" s="45"/>
      <c r="K215" s="45"/>
      <c r="L215" s="45"/>
      <c r="M215" s="45"/>
      <c r="N215" s="45"/>
      <c r="O215" s="45"/>
      <c r="P215" s="45"/>
      <c r="Q215" s="45"/>
      <c r="R215" s="45"/>
      <c r="S215" s="45"/>
      <c r="T215" s="45"/>
      <c r="U215" s="45"/>
    </row>
    <row r="216" spans="1:21">
      <c r="A216" s="45"/>
      <c r="B216" s="45"/>
      <c r="C216" s="45"/>
      <c r="D216" s="45"/>
      <c r="E216" s="45"/>
      <c r="F216" s="45"/>
      <c r="G216" s="45"/>
      <c r="H216" s="45"/>
      <c r="I216" s="56"/>
      <c r="J216" s="45"/>
      <c r="K216" s="45"/>
      <c r="L216" s="45"/>
      <c r="M216" s="45"/>
      <c r="N216" s="45"/>
      <c r="O216" s="45"/>
      <c r="P216" s="45"/>
      <c r="Q216" s="45"/>
      <c r="R216" s="45"/>
      <c r="S216" s="45"/>
      <c r="T216" s="45"/>
      <c r="U216" s="45"/>
    </row>
    <row r="217" spans="1:21">
      <c r="A217" s="45"/>
      <c r="B217" s="45"/>
      <c r="C217" s="45"/>
      <c r="D217" s="45"/>
      <c r="E217" s="45"/>
      <c r="F217" s="45"/>
      <c r="G217" s="45"/>
      <c r="H217" s="45"/>
      <c r="I217" s="56"/>
      <c r="J217" s="45"/>
      <c r="K217" s="45"/>
      <c r="L217" s="45"/>
      <c r="M217" s="45"/>
      <c r="N217" s="45"/>
      <c r="O217" s="45"/>
      <c r="P217" s="45"/>
      <c r="Q217" s="45"/>
      <c r="R217" s="45"/>
      <c r="S217" s="45"/>
      <c r="T217" s="45"/>
      <c r="U217" s="45"/>
    </row>
    <row r="218" spans="1:21">
      <c r="A218" s="45"/>
      <c r="B218" s="45"/>
      <c r="C218" s="45"/>
      <c r="D218" s="45"/>
      <c r="E218" s="45"/>
      <c r="F218" s="45"/>
      <c r="G218" s="45"/>
      <c r="H218" s="45"/>
      <c r="I218" s="56"/>
      <c r="J218" s="45"/>
      <c r="K218" s="45"/>
      <c r="L218" s="45"/>
      <c r="M218" s="45"/>
      <c r="N218" s="45"/>
      <c r="O218" s="45"/>
      <c r="P218" s="45"/>
      <c r="Q218" s="45"/>
      <c r="R218" s="45"/>
      <c r="S218" s="45"/>
      <c r="T218" s="45"/>
      <c r="U218" s="45"/>
    </row>
    <row r="219" spans="1:21">
      <c r="A219" s="45"/>
      <c r="B219" s="45"/>
      <c r="C219" s="45"/>
      <c r="D219" s="45"/>
      <c r="E219" s="45"/>
      <c r="F219" s="45"/>
      <c r="G219" s="45"/>
      <c r="H219" s="45"/>
      <c r="I219" s="56"/>
      <c r="J219" s="45"/>
      <c r="K219" s="45"/>
      <c r="L219" s="45"/>
      <c r="M219" s="45"/>
      <c r="N219" s="45"/>
      <c r="O219" s="45"/>
      <c r="P219" s="45"/>
      <c r="Q219" s="45"/>
      <c r="R219" s="45"/>
      <c r="S219" s="45"/>
      <c r="T219" s="45"/>
      <c r="U219" s="45"/>
    </row>
    <row r="220" spans="1:21">
      <c r="A220" s="45"/>
      <c r="B220" s="45"/>
      <c r="C220" s="45"/>
      <c r="D220" s="45"/>
      <c r="E220" s="45"/>
      <c r="F220" s="45"/>
      <c r="G220" s="45"/>
      <c r="H220" s="45"/>
      <c r="I220" s="56"/>
      <c r="J220" s="45"/>
      <c r="K220" s="45"/>
      <c r="L220" s="45"/>
      <c r="M220" s="45"/>
      <c r="N220" s="45"/>
      <c r="O220" s="45"/>
      <c r="P220" s="45"/>
      <c r="Q220" s="45"/>
      <c r="R220" s="45"/>
      <c r="S220" s="45"/>
      <c r="T220" s="45"/>
      <c r="U220" s="45"/>
    </row>
    <row r="221" spans="1:21">
      <c r="A221" s="45"/>
      <c r="B221" s="45"/>
      <c r="C221" s="45"/>
      <c r="D221" s="45"/>
      <c r="E221" s="45"/>
      <c r="F221" s="45"/>
      <c r="G221" s="45"/>
      <c r="H221" s="45"/>
      <c r="I221" s="56"/>
      <c r="J221" s="45"/>
      <c r="K221" s="45"/>
      <c r="L221" s="45"/>
      <c r="M221" s="45"/>
      <c r="N221" s="45"/>
      <c r="O221" s="45"/>
      <c r="P221" s="45"/>
      <c r="Q221" s="45"/>
      <c r="R221" s="45"/>
      <c r="S221" s="45"/>
      <c r="T221" s="45"/>
      <c r="U221" s="45"/>
    </row>
    <row r="222" spans="1:21">
      <c r="A222" s="45"/>
      <c r="B222" s="45"/>
      <c r="C222" s="45"/>
      <c r="D222" s="45"/>
      <c r="E222" s="45"/>
      <c r="F222" s="45"/>
      <c r="G222" s="45"/>
      <c r="H222" s="45"/>
      <c r="I222" s="56"/>
      <c r="J222" s="45"/>
      <c r="K222" s="45"/>
      <c r="L222" s="45"/>
      <c r="M222" s="45"/>
      <c r="N222" s="45"/>
      <c r="O222" s="45"/>
      <c r="P222" s="45"/>
      <c r="Q222" s="45"/>
      <c r="R222" s="45"/>
      <c r="S222" s="45"/>
      <c r="T222" s="45"/>
      <c r="U222" s="45"/>
    </row>
    <row r="223" spans="1:21">
      <c r="A223" s="45"/>
      <c r="B223" s="45"/>
      <c r="C223" s="45"/>
      <c r="D223" s="45"/>
      <c r="E223" s="45"/>
      <c r="F223" s="45"/>
      <c r="G223" s="45"/>
      <c r="H223" s="45"/>
      <c r="I223" s="56"/>
      <c r="J223" s="45"/>
      <c r="K223" s="45"/>
      <c r="L223" s="45"/>
      <c r="M223" s="45"/>
      <c r="N223" s="45"/>
      <c r="O223" s="45"/>
      <c r="P223" s="45"/>
      <c r="Q223" s="45"/>
      <c r="R223" s="45"/>
      <c r="S223" s="45"/>
      <c r="T223" s="45"/>
      <c r="U223" s="45"/>
    </row>
    <row r="224" spans="1:21">
      <c r="A224" s="45"/>
      <c r="B224" s="45"/>
      <c r="C224" s="45"/>
      <c r="D224" s="45"/>
      <c r="E224" s="45"/>
      <c r="F224" s="45"/>
      <c r="G224" s="45"/>
      <c r="H224" s="45"/>
      <c r="I224" s="56"/>
      <c r="J224" s="45"/>
      <c r="K224" s="45"/>
      <c r="L224" s="45"/>
      <c r="M224" s="45"/>
      <c r="N224" s="45"/>
      <c r="O224" s="45"/>
      <c r="P224" s="45"/>
      <c r="Q224" s="45"/>
      <c r="R224" s="45"/>
      <c r="S224" s="45"/>
      <c r="T224" s="45"/>
      <c r="U224" s="45"/>
    </row>
    <row r="225" spans="1:21">
      <c r="A225" s="45"/>
      <c r="B225" s="45"/>
      <c r="C225" s="45"/>
      <c r="D225" s="45"/>
      <c r="E225" s="45"/>
      <c r="F225" s="45"/>
      <c r="G225" s="45"/>
      <c r="H225" s="45"/>
      <c r="I225" s="56"/>
      <c r="J225" s="45"/>
      <c r="K225" s="45"/>
      <c r="L225" s="45"/>
      <c r="M225" s="45"/>
      <c r="N225" s="45"/>
      <c r="O225" s="45"/>
      <c r="P225" s="45"/>
      <c r="Q225" s="45"/>
      <c r="R225" s="45"/>
      <c r="S225" s="45"/>
      <c r="T225" s="45"/>
      <c r="U225" s="45"/>
    </row>
    <row r="226" spans="1:21">
      <c r="A226" s="45"/>
      <c r="B226" s="45"/>
      <c r="C226" s="45"/>
      <c r="D226" s="45"/>
      <c r="E226" s="45"/>
      <c r="F226" s="45"/>
      <c r="G226" s="45"/>
      <c r="H226" s="45"/>
      <c r="I226" s="56"/>
      <c r="J226" s="45"/>
      <c r="K226" s="45"/>
      <c r="L226" s="45"/>
      <c r="M226" s="45"/>
      <c r="N226" s="45"/>
      <c r="O226" s="45"/>
      <c r="P226" s="45"/>
      <c r="Q226" s="45"/>
      <c r="R226" s="45"/>
      <c r="S226" s="45"/>
      <c r="T226" s="45"/>
      <c r="U226" s="45"/>
    </row>
    <row r="227" spans="1:21">
      <c r="A227" s="45"/>
      <c r="B227" s="45"/>
      <c r="C227" s="45"/>
      <c r="D227" s="45"/>
      <c r="E227" s="45"/>
      <c r="F227" s="45"/>
      <c r="G227" s="45"/>
      <c r="H227" s="45"/>
      <c r="I227" s="56"/>
      <c r="J227" s="45"/>
      <c r="K227" s="45"/>
      <c r="L227" s="45"/>
      <c r="M227" s="45"/>
      <c r="N227" s="45"/>
      <c r="O227" s="45"/>
      <c r="P227" s="45"/>
      <c r="Q227" s="45"/>
      <c r="R227" s="45"/>
      <c r="S227" s="45"/>
      <c r="T227" s="45"/>
      <c r="U227" s="45"/>
    </row>
    <row r="228" spans="1:21">
      <c r="A228" s="45"/>
      <c r="B228" s="45"/>
      <c r="C228" s="45"/>
      <c r="D228" s="45"/>
      <c r="E228" s="45"/>
      <c r="F228" s="45"/>
      <c r="G228" s="45"/>
      <c r="H228" s="45"/>
      <c r="I228" s="56"/>
      <c r="J228" s="45"/>
      <c r="K228" s="45"/>
      <c r="L228" s="45"/>
      <c r="M228" s="45"/>
      <c r="N228" s="45"/>
      <c r="O228" s="45"/>
      <c r="P228" s="45"/>
      <c r="Q228" s="45"/>
      <c r="R228" s="45"/>
      <c r="S228" s="45"/>
      <c r="T228" s="45"/>
      <c r="U228" s="45"/>
    </row>
    <row r="229" spans="1:21">
      <c r="A229" s="45"/>
      <c r="B229" s="45"/>
      <c r="C229" s="45"/>
      <c r="D229" s="45"/>
      <c r="E229" s="45"/>
      <c r="F229" s="45"/>
      <c r="G229" s="45"/>
      <c r="H229" s="45"/>
      <c r="I229" s="56"/>
      <c r="J229" s="45"/>
      <c r="K229" s="45"/>
      <c r="L229" s="45"/>
      <c r="M229" s="45"/>
      <c r="N229" s="45"/>
      <c r="O229" s="45"/>
      <c r="P229" s="45"/>
      <c r="Q229" s="45"/>
      <c r="R229" s="45"/>
      <c r="S229" s="45"/>
      <c r="T229" s="45"/>
      <c r="U229" s="45"/>
    </row>
    <row r="230" spans="1:21">
      <c r="A230" s="45"/>
      <c r="B230" s="45"/>
      <c r="C230" s="45"/>
      <c r="D230" s="45"/>
      <c r="E230" s="45"/>
      <c r="F230" s="45"/>
      <c r="G230" s="45"/>
      <c r="H230" s="45"/>
      <c r="I230" s="56"/>
      <c r="J230" s="45"/>
      <c r="K230" s="45"/>
      <c r="L230" s="45"/>
      <c r="M230" s="45"/>
      <c r="N230" s="45"/>
      <c r="O230" s="45"/>
      <c r="P230" s="45"/>
      <c r="Q230" s="45"/>
      <c r="R230" s="45"/>
      <c r="S230" s="45"/>
      <c r="T230" s="45"/>
      <c r="U230" s="45"/>
    </row>
    <row r="231" spans="1:21">
      <c r="A231" s="45"/>
      <c r="B231" s="45"/>
      <c r="C231" s="45"/>
      <c r="D231" s="45"/>
      <c r="E231" s="45"/>
      <c r="F231" s="45"/>
      <c r="G231" s="45"/>
      <c r="H231" s="45"/>
      <c r="I231" s="56"/>
      <c r="J231" s="45"/>
      <c r="K231" s="45"/>
      <c r="L231" s="45"/>
      <c r="M231" s="45"/>
      <c r="N231" s="45"/>
      <c r="O231" s="45"/>
      <c r="P231" s="45"/>
      <c r="Q231" s="45"/>
      <c r="R231" s="45"/>
      <c r="S231" s="45"/>
      <c r="T231" s="45"/>
      <c r="U231" s="45"/>
    </row>
    <row r="232" spans="1:21">
      <c r="A232" s="45"/>
      <c r="B232" s="45"/>
      <c r="C232" s="45"/>
      <c r="D232" s="45"/>
      <c r="E232" s="45"/>
      <c r="F232" s="45"/>
      <c r="G232" s="45"/>
      <c r="H232" s="45"/>
      <c r="I232" s="56"/>
      <c r="J232" s="45"/>
      <c r="K232" s="45"/>
      <c r="L232" s="45"/>
      <c r="M232" s="45"/>
      <c r="N232" s="45"/>
      <c r="O232" s="45"/>
      <c r="P232" s="45"/>
      <c r="Q232" s="45"/>
      <c r="R232" s="45"/>
      <c r="S232" s="45"/>
      <c r="T232" s="45"/>
      <c r="U232" s="45"/>
    </row>
    <row r="233" spans="1:21">
      <c r="A233" s="45"/>
      <c r="B233" s="45"/>
      <c r="C233" s="45"/>
      <c r="D233" s="45"/>
      <c r="E233" s="45"/>
      <c r="F233" s="45"/>
      <c r="G233" s="45"/>
      <c r="H233" s="45"/>
      <c r="I233" s="56"/>
      <c r="J233" s="45"/>
      <c r="K233" s="45"/>
      <c r="L233" s="45"/>
      <c r="M233" s="45"/>
      <c r="N233" s="45"/>
      <c r="O233" s="45"/>
      <c r="P233" s="45"/>
      <c r="Q233" s="45"/>
      <c r="R233" s="45"/>
      <c r="S233" s="45"/>
      <c r="T233" s="45"/>
      <c r="U233" s="45"/>
    </row>
    <row r="234" spans="1:21">
      <c r="A234" s="45"/>
      <c r="B234" s="45"/>
      <c r="C234" s="45"/>
      <c r="D234" s="45"/>
      <c r="E234" s="45"/>
      <c r="F234" s="45"/>
      <c r="G234" s="45"/>
      <c r="H234" s="45"/>
      <c r="I234" s="56"/>
      <c r="J234" s="45"/>
      <c r="K234" s="45"/>
      <c r="L234" s="45"/>
      <c r="M234" s="45"/>
      <c r="N234" s="45"/>
      <c r="O234" s="45"/>
      <c r="P234" s="45"/>
      <c r="Q234" s="45"/>
      <c r="R234" s="45"/>
      <c r="S234" s="45"/>
      <c r="T234" s="45"/>
      <c r="U234" s="45"/>
    </row>
    <row r="235" spans="1:21">
      <c r="A235" s="45"/>
      <c r="B235" s="45"/>
      <c r="C235" s="45"/>
      <c r="D235" s="45"/>
      <c r="E235" s="45"/>
      <c r="F235" s="45"/>
      <c r="G235" s="45"/>
      <c r="H235" s="45"/>
      <c r="I235" s="56"/>
      <c r="J235" s="45"/>
      <c r="K235" s="45"/>
      <c r="L235" s="45"/>
      <c r="M235" s="45"/>
      <c r="N235" s="45"/>
      <c r="O235" s="45"/>
      <c r="P235" s="45"/>
      <c r="Q235" s="45"/>
      <c r="R235" s="45"/>
      <c r="S235" s="45"/>
      <c r="T235" s="45"/>
      <c r="U235" s="45"/>
    </row>
    <row r="236" spans="1:21">
      <c r="A236" s="45"/>
      <c r="B236" s="45"/>
      <c r="C236" s="45"/>
      <c r="D236" s="45"/>
      <c r="E236" s="45"/>
      <c r="F236" s="45"/>
      <c r="G236" s="45"/>
      <c r="H236" s="45"/>
      <c r="I236" s="56"/>
      <c r="J236" s="45"/>
      <c r="K236" s="45"/>
      <c r="L236" s="45"/>
      <c r="M236" s="45"/>
      <c r="N236" s="45"/>
      <c r="O236" s="45"/>
      <c r="P236" s="45"/>
      <c r="Q236" s="45"/>
      <c r="R236" s="45"/>
      <c r="S236" s="45"/>
      <c r="T236" s="45"/>
      <c r="U236" s="45"/>
    </row>
    <row r="237" spans="1:21">
      <c r="A237" s="45"/>
      <c r="B237" s="45"/>
      <c r="C237" s="45"/>
      <c r="D237" s="45"/>
      <c r="E237" s="45"/>
      <c r="F237" s="45"/>
      <c r="G237" s="45"/>
      <c r="H237" s="45"/>
      <c r="I237" s="56"/>
      <c r="J237" s="45"/>
      <c r="K237" s="45"/>
      <c r="L237" s="45"/>
      <c r="M237" s="45"/>
      <c r="N237" s="45"/>
      <c r="O237" s="45"/>
      <c r="P237" s="45"/>
      <c r="Q237" s="45"/>
      <c r="R237" s="45"/>
      <c r="S237" s="45"/>
      <c r="T237" s="45"/>
      <c r="U237" s="45"/>
    </row>
    <row r="238" spans="1:21">
      <c r="A238" s="45"/>
      <c r="B238" s="45"/>
      <c r="C238" s="45"/>
      <c r="D238" s="45"/>
      <c r="E238" s="45"/>
      <c r="F238" s="45"/>
      <c r="G238" s="45"/>
      <c r="H238" s="45"/>
      <c r="I238" s="56"/>
      <c r="J238" s="45"/>
      <c r="K238" s="45"/>
      <c r="L238" s="45"/>
      <c r="M238" s="45"/>
      <c r="N238" s="45"/>
      <c r="O238" s="45"/>
      <c r="P238" s="45"/>
      <c r="Q238" s="45"/>
      <c r="R238" s="45"/>
      <c r="S238" s="45"/>
      <c r="T238" s="45"/>
      <c r="U238" s="45"/>
    </row>
    <row r="239" spans="1:21">
      <c r="A239" s="45"/>
      <c r="B239" s="45"/>
      <c r="C239" s="45"/>
      <c r="D239" s="45"/>
      <c r="E239" s="45"/>
      <c r="F239" s="45"/>
      <c r="G239" s="45"/>
      <c r="H239" s="45"/>
      <c r="I239" s="56"/>
      <c r="J239" s="45"/>
      <c r="K239" s="45"/>
      <c r="L239" s="45"/>
      <c r="M239" s="45"/>
      <c r="N239" s="45"/>
      <c r="O239" s="45"/>
      <c r="P239" s="45"/>
      <c r="Q239" s="45"/>
      <c r="R239" s="45"/>
      <c r="S239" s="45"/>
      <c r="T239" s="45"/>
      <c r="U239" s="45"/>
    </row>
    <row r="240" spans="1:21">
      <c r="A240" s="45"/>
      <c r="B240" s="45"/>
      <c r="C240" s="45"/>
      <c r="D240" s="45"/>
      <c r="E240" s="45"/>
      <c r="F240" s="45"/>
      <c r="G240" s="45"/>
      <c r="H240" s="45"/>
      <c r="I240" s="56"/>
      <c r="J240" s="45"/>
      <c r="K240" s="45"/>
      <c r="L240" s="45"/>
      <c r="M240" s="45"/>
      <c r="N240" s="45"/>
      <c r="O240" s="45"/>
      <c r="P240" s="45"/>
      <c r="Q240" s="45"/>
      <c r="R240" s="45"/>
      <c r="S240" s="45"/>
      <c r="T240" s="45"/>
      <c r="U240" s="45"/>
    </row>
    <row r="241" spans="1:21">
      <c r="A241" s="45"/>
      <c r="B241" s="45"/>
      <c r="C241" s="45"/>
      <c r="D241" s="45"/>
      <c r="E241" s="45"/>
      <c r="F241" s="45"/>
      <c r="G241" s="45"/>
      <c r="H241" s="45"/>
      <c r="I241" s="56"/>
      <c r="J241" s="45"/>
      <c r="K241" s="45"/>
      <c r="L241" s="45"/>
      <c r="M241" s="45"/>
      <c r="N241" s="45"/>
      <c r="O241" s="45"/>
      <c r="P241" s="45"/>
      <c r="Q241" s="45"/>
      <c r="R241" s="45"/>
      <c r="S241" s="45"/>
      <c r="T241" s="45"/>
      <c r="U241" s="45"/>
    </row>
    <row r="242" spans="1:21">
      <c r="A242" s="45"/>
      <c r="B242" s="45"/>
      <c r="C242" s="45"/>
      <c r="D242" s="45"/>
      <c r="E242" s="45"/>
      <c r="F242" s="45"/>
      <c r="G242" s="45"/>
      <c r="H242" s="45"/>
      <c r="I242" s="56"/>
      <c r="J242" s="45"/>
      <c r="K242" s="45"/>
      <c r="L242" s="45"/>
      <c r="M242" s="45"/>
      <c r="N242" s="45"/>
      <c r="O242" s="45"/>
      <c r="P242" s="45"/>
      <c r="Q242" s="45"/>
      <c r="R242" s="45"/>
      <c r="S242" s="45"/>
      <c r="T242" s="45"/>
      <c r="U242" s="45"/>
    </row>
    <row r="243" spans="1:21">
      <c r="A243" s="45"/>
      <c r="B243" s="45"/>
      <c r="C243" s="45"/>
      <c r="D243" s="45"/>
      <c r="E243" s="45"/>
      <c r="F243" s="45"/>
      <c r="G243" s="45"/>
      <c r="H243" s="45"/>
      <c r="I243" s="56"/>
      <c r="J243" s="45"/>
      <c r="K243" s="45"/>
      <c r="L243" s="45"/>
      <c r="M243" s="45"/>
      <c r="N243" s="45"/>
      <c r="O243" s="45"/>
      <c r="P243" s="45"/>
      <c r="Q243" s="45"/>
      <c r="R243" s="45"/>
      <c r="S243" s="45"/>
      <c r="T243" s="45"/>
      <c r="U243" s="45"/>
    </row>
    <row r="244" spans="1:21">
      <c r="A244" s="45"/>
      <c r="B244" s="45"/>
      <c r="C244" s="45"/>
      <c r="D244" s="45"/>
      <c r="E244" s="45"/>
      <c r="F244" s="45"/>
      <c r="G244" s="45"/>
      <c r="H244" s="45"/>
      <c r="I244" s="56"/>
      <c r="J244" s="45"/>
      <c r="K244" s="45"/>
      <c r="L244" s="45"/>
      <c r="M244" s="45"/>
      <c r="N244" s="45"/>
      <c r="O244" s="45"/>
      <c r="P244" s="45"/>
      <c r="Q244" s="45"/>
      <c r="R244" s="45"/>
      <c r="S244" s="45"/>
      <c r="T244" s="45"/>
      <c r="U244" s="45"/>
    </row>
    <row r="245" spans="1:21">
      <c r="A245" s="45"/>
      <c r="B245" s="45"/>
      <c r="C245" s="45"/>
      <c r="D245" s="45"/>
      <c r="E245" s="45"/>
      <c r="F245" s="45"/>
      <c r="G245" s="45"/>
      <c r="H245" s="45"/>
      <c r="I245" s="56"/>
      <c r="J245" s="45"/>
      <c r="K245" s="45"/>
      <c r="L245" s="45"/>
      <c r="M245" s="45"/>
      <c r="N245" s="45"/>
      <c r="O245" s="45"/>
      <c r="P245" s="45"/>
      <c r="Q245" s="45"/>
      <c r="R245" s="45"/>
      <c r="S245" s="45"/>
      <c r="T245" s="45"/>
      <c r="U245" s="45"/>
    </row>
    <row r="246" spans="1:21">
      <c r="A246" s="45"/>
      <c r="B246" s="45"/>
      <c r="C246" s="45"/>
      <c r="D246" s="45"/>
      <c r="E246" s="45"/>
      <c r="F246" s="45"/>
      <c r="G246" s="45"/>
      <c r="H246" s="45"/>
      <c r="I246" s="56"/>
      <c r="J246" s="45"/>
      <c r="K246" s="45"/>
      <c r="L246" s="45"/>
      <c r="M246" s="45"/>
      <c r="N246" s="45"/>
      <c r="O246" s="45"/>
      <c r="P246" s="45"/>
      <c r="Q246" s="45"/>
      <c r="R246" s="45"/>
      <c r="S246" s="45"/>
      <c r="T246" s="45"/>
      <c r="U246" s="45"/>
    </row>
    <row r="247" spans="1:21">
      <c r="A247" s="45"/>
      <c r="B247" s="45"/>
      <c r="C247" s="45"/>
      <c r="D247" s="45"/>
      <c r="E247" s="45"/>
      <c r="F247" s="45"/>
      <c r="G247" s="45"/>
      <c r="H247" s="45"/>
      <c r="I247" s="56"/>
      <c r="J247" s="45"/>
      <c r="K247" s="45"/>
      <c r="L247" s="45"/>
      <c r="M247" s="45"/>
      <c r="N247" s="45"/>
      <c r="O247" s="45"/>
      <c r="P247" s="45"/>
      <c r="Q247" s="45"/>
      <c r="R247" s="45"/>
      <c r="S247" s="45"/>
      <c r="T247" s="45"/>
      <c r="U247" s="45"/>
    </row>
    <row r="248" spans="1:21">
      <c r="A248" s="45"/>
      <c r="B248" s="45"/>
      <c r="C248" s="45"/>
      <c r="D248" s="45"/>
      <c r="E248" s="45"/>
      <c r="F248" s="45"/>
      <c r="G248" s="45"/>
      <c r="H248" s="45"/>
      <c r="I248" s="56"/>
      <c r="J248" s="45"/>
      <c r="K248" s="45"/>
      <c r="L248" s="45"/>
      <c r="M248" s="45"/>
      <c r="N248" s="45"/>
      <c r="O248" s="45"/>
      <c r="P248" s="45"/>
      <c r="Q248" s="45"/>
      <c r="R248" s="45"/>
      <c r="S248" s="45"/>
      <c r="T248" s="45"/>
      <c r="U248" s="45"/>
    </row>
    <row r="249" spans="1:21">
      <c r="A249" s="45"/>
      <c r="B249" s="45"/>
      <c r="C249" s="45"/>
      <c r="D249" s="45"/>
      <c r="E249" s="45"/>
      <c r="F249" s="45"/>
      <c r="G249" s="45"/>
      <c r="H249" s="45"/>
      <c r="I249" s="56"/>
      <c r="J249" s="45"/>
      <c r="K249" s="45"/>
      <c r="L249" s="45"/>
      <c r="M249" s="45"/>
      <c r="N249" s="45"/>
      <c r="O249" s="45"/>
      <c r="P249" s="45"/>
      <c r="Q249" s="45"/>
      <c r="R249" s="45"/>
      <c r="S249" s="45"/>
      <c r="T249" s="45"/>
      <c r="U249" s="45"/>
    </row>
    <row r="250" spans="1:21">
      <c r="A250" s="45"/>
      <c r="B250" s="45"/>
      <c r="C250" s="45"/>
      <c r="D250" s="45"/>
      <c r="E250" s="45"/>
      <c r="F250" s="45"/>
      <c r="G250" s="45"/>
      <c r="H250" s="45"/>
      <c r="I250" s="56"/>
      <c r="J250" s="45"/>
      <c r="K250" s="45"/>
      <c r="L250" s="45"/>
      <c r="M250" s="45"/>
      <c r="N250" s="45"/>
      <c r="O250" s="45"/>
      <c r="P250" s="45"/>
      <c r="Q250" s="45"/>
      <c r="R250" s="45"/>
      <c r="S250" s="45"/>
      <c r="T250" s="45"/>
      <c r="U250" s="45"/>
    </row>
    <row r="251" spans="1:21">
      <c r="A251" s="45"/>
      <c r="B251" s="45"/>
      <c r="C251" s="45"/>
      <c r="D251" s="45"/>
      <c r="E251" s="45"/>
      <c r="F251" s="45"/>
      <c r="G251" s="45"/>
      <c r="H251" s="45"/>
      <c r="I251" s="56"/>
      <c r="J251" s="45"/>
      <c r="K251" s="45"/>
      <c r="L251" s="45"/>
      <c r="M251" s="45"/>
      <c r="N251" s="45"/>
      <c r="O251" s="45"/>
      <c r="P251" s="45"/>
      <c r="Q251" s="45"/>
      <c r="R251" s="45"/>
      <c r="S251" s="45"/>
      <c r="T251" s="45"/>
      <c r="U251" s="45"/>
    </row>
    <row r="252" spans="1:21">
      <c r="A252" s="45"/>
      <c r="B252" s="45"/>
      <c r="C252" s="45"/>
      <c r="D252" s="45"/>
      <c r="E252" s="45"/>
      <c r="F252" s="45"/>
      <c r="G252" s="45"/>
      <c r="H252" s="45"/>
      <c r="I252" s="56"/>
      <c r="J252" s="45"/>
      <c r="K252" s="45"/>
      <c r="L252" s="45"/>
      <c r="M252" s="45"/>
      <c r="N252" s="45"/>
      <c r="O252" s="45"/>
      <c r="P252" s="45"/>
      <c r="Q252" s="45"/>
      <c r="R252" s="45"/>
      <c r="S252" s="45"/>
      <c r="T252" s="45"/>
      <c r="U252" s="45"/>
    </row>
    <row r="253" spans="1:21">
      <c r="A253" s="45"/>
      <c r="B253" s="45"/>
      <c r="C253" s="45"/>
      <c r="D253" s="45"/>
      <c r="E253" s="45"/>
      <c r="F253" s="45"/>
      <c r="G253" s="45"/>
      <c r="H253" s="45"/>
      <c r="I253" s="56"/>
      <c r="J253" s="45"/>
      <c r="K253" s="45"/>
      <c r="L253" s="45"/>
      <c r="M253" s="45"/>
      <c r="N253" s="45"/>
      <c r="O253" s="45"/>
      <c r="P253" s="45"/>
      <c r="Q253" s="45"/>
      <c r="R253" s="45"/>
      <c r="S253" s="45"/>
      <c r="T253" s="45"/>
      <c r="U253" s="45"/>
    </row>
    <row r="254" spans="1:21">
      <c r="A254" s="45"/>
      <c r="B254" s="45"/>
      <c r="C254" s="45"/>
      <c r="D254" s="45"/>
      <c r="E254" s="45"/>
      <c r="F254" s="45"/>
      <c r="G254" s="45"/>
      <c r="H254" s="45"/>
      <c r="I254" s="56"/>
      <c r="J254" s="45"/>
      <c r="K254" s="45"/>
      <c r="L254" s="45"/>
      <c r="M254" s="45"/>
      <c r="N254" s="45"/>
      <c r="O254" s="45"/>
      <c r="P254" s="45"/>
      <c r="Q254" s="45"/>
      <c r="R254" s="45"/>
      <c r="S254" s="45"/>
      <c r="T254" s="45"/>
      <c r="U254" s="45"/>
    </row>
    <row r="255" spans="1:21">
      <c r="A255" s="45"/>
      <c r="B255" s="45"/>
      <c r="C255" s="45"/>
      <c r="D255" s="45"/>
      <c r="E255" s="45"/>
      <c r="F255" s="45"/>
      <c r="G255" s="45"/>
      <c r="H255" s="45"/>
      <c r="I255" s="56"/>
      <c r="J255" s="45"/>
      <c r="K255" s="45"/>
      <c r="L255" s="45"/>
      <c r="M255" s="45"/>
      <c r="N255" s="45"/>
      <c r="O255" s="45"/>
      <c r="P255" s="45"/>
      <c r="Q255" s="45"/>
      <c r="R255" s="45"/>
      <c r="S255" s="45"/>
      <c r="T255" s="45"/>
      <c r="U255" s="45"/>
    </row>
    <row r="256" spans="1:21">
      <c r="A256" s="45"/>
      <c r="B256" s="45"/>
      <c r="C256" s="45"/>
      <c r="D256" s="45"/>
      <c r="E256" s="45"/>
      <c r="F256" s="45"/>
      <c r="G256" s="45"/>
      <c r="H256" s="45"/>
      <c r="I256" s="56"/>
      <c r="J256" s="45"/>
      <c r="K256" s="45"/>
      <c r="L256" s="45"/>
      <c r="M256" s="45"/>
      <c r="N256" s="45"/>
      <c r="O256" s="45"/>
      <c r="P256" s="45"/>
      <c r="Q256" s="45"/>
      <c r="R256" s="45"/>
      <c r="S256" s="45"/>
      <c r="T256" s="45"/>
      <c r="U256" s="45"/>
    </row>
    <row r="257" spans="1:21">
      <c r="A257" s="45"/>
      <c r="B257" s="45"/>
      <c r="C257" s="45"/>
      <c r="D257" s="45"/>
      <c r="E257" s="45"/>
      <c r="F257" s="45"/>
      <c r="G257" s="45"/>
      <c r="H257" s="45"/>
      <c r="I257" s="56"/>
      <c r="J257" s="45"/>
      <c r="K257" s="45"/>
      <c r="L257" s="45"/>
      <c r="M257" s="45"/>
      <c r="N257" s="45"/>
      <c r="O257" s="45"/>
      <c r="P257" s="45"/>
      <c r="Q257" s="45"/>
      <c r="R257" s="45"/>
      <c r="S257" s="45"/>
      <c r="T257" s="45"/>
      <c r="U257" s="45"/>
    </row>
    <row r="258" spans="1:21">
      <c r="A258" s="45"/>
      <c r="B258" s="45"/>
      <c r="C258" s="45"/>
      <c r="D258" s="45"/>
      <c r="E258" s="45"/>
      <c r="F258" s="45"/>
      <c r="G258" s="45"/>
      <c r="H258" s="45"/>
      <c r="I258" s="56"/>
      <c r="J258" s="45"/>
      <c r="K258" s="45"/>
      <c r="L258" s="45"/>
      <c r="M258" s="45"/>
      <c r="N258" s="45"/>
      <c r="O258" s="45"/>
      <c r="P258" s="45"/>
      <c r="Q258" s="45"/>
      <c r="R258" s="45"/>
      <c r="S258" s="45"/>
      <c r="T258" s="45"/>
      <c r="U258" s="45"/>
    </row>
    <row r="259" spans="1:21">
      <c r="A259" s="45"/>
      <c r="B259" s="45"/>
      <c r="C259" s="45"/>
      <c r="D259" s="45"/>
      <c r="E259" s="45"/>
      <c r="F259" s="45"/>
      <c r="G259" s="45"/>
      <c r="H259" s="45"/>
      <c r="I259" s="56"/>
      <c r="J259" s="45"/>
      <c r="K259" s="45"/>
      <c r="L259" s="45"/>
      <c r="M259" s="45"/>
      <c r="N259" s="45"/>
      <c r="O259" s="45"/>
      <c r="P259" s="45"/>
      <c r="Q259" s="45"/>
      <c r="R259" s="45"/>
      <c r="S259" s="45"/>
      <c r="T259" s="45"/>
      <c r="U259" s="45"/>
    </row>
    <row r="260" spans="1:21">
      <c r="A260" s="45"/>
      <c r="B260" s="45"/>
      <c r="C260" s="45"/>
      <c r="D260" s="45"/>
      <c r="E260" s="45"/>
      <c r="F260" s="45"/>
      <c r="G260" s="45"/>
      <c r="H260" s="45"/>
      <c r="I260" s="56"/>
      <c r="J260" s="45"/>
      <c r="K260" s="45"/>
      <c r="L260" s="45"/>
      <c r="M260" s="45"/>
      <c r="N260" s="45"/>
      <c r="O260" s="45"/>
      <c r="P260" s="45"/>
      <c r="Q260" s="45"/>
      <c r="R260" s="45"/>
      <c r="S260" s="45"/>
      <c r="T260" s="45"/>
      <c r="U260" s="45"/>
    </row>
    <row r="261" spans="1:21">
      <c r="A261" s="45"/>
      <c r="B261" s="45"/>
      <c r="C261" s="45"/>
      <c r="D261" s="45"/>
      <c r="E261" s="45"/>
      <c r="F261" s="45"/>
      <c r="G261" s="45"/>
      <c r="H261" s="45"/>
      <c r="I261" s="56"/>
      <c r="J261" s="45"/>
      <c r="K261" s="45"/>
      <c r="L261" s="45"/>
      <c r="M261" s="45"/>
      <c r="N261" s="45"/>
      <c r="O261" s="45"/>
      <c r="P261" s="45"/>
      <c r="Q261" s="45"/>
      <c r="R261" s="45"/>
      <c r="S261" s="45"/>
      <c r="T261" s="45"/>
      <c r="U261" s="45"/>
    </row>
    <row r="262" spans="1:21">
      <c r="A262" s="45"/>
      <c r="B262" s="45"/>
      <c r="C262" s="45"/>
      <c r="D262" s="45"/>
      <c r="E262" s="45"/>
      <c r="F262" s="45"/>
      <c r="G262" s="45"/>
      <c r="H262" s="45"/>
      <c r="I262" s="56"/>
      <c r="J262" s="45"/>
      <c r="K262" s="45"/>
      <c r="L262" s="45"/>
      <c r="M262" s="45"/>
      <c r="N262" s="45"/>
      <c r="O262" s="45"/>
      <c r="P262" s="45"/>
      <c r="Q262" s="45"/>
      <c r="R262" s="45"/>
      <c r="S262" s="45"/>
      <c r="T262" s="45"/>
      <c r="U262" s="45"/>
    </row>
    <row r="263" spans="1:21">
      <c r="A263" s="45"/>
      <c r="B263" s="45"/>
      <c r="C263" s="45"/>
      <c r="D263" s="45"/>
      <c r="E263" s="45"/>
      <c r="F263" s="45"/>
      <c r="G263" s="45"/>
      <c r="H263" s="45"/>
      <c r="I263" s="56"/>
      <c r="J263" s="45"/>
      <c r="K263" s="45"/>
      <c r="L263" s="45"/>
      <c r="M263" s="45"/>
      <c r="N263" s="45"/>
      <c r="O263" s="45"/>
      <c r="P263" s="45"/>
      <c r="Q263" s="45"/>
      <c r="R263" s="45"/>
      <c r="S263" s="45"/>
      <c r="T263" s="45"/>
      <c r="U263" s="45"/>
    </row>
    <row r="264" spans="1:21">
      <c r="A264" s="45"/>
      <c r="B264" s="45"/>
      <c r="C264" s="45"/>
      <c r="D264" s="45"/>
      <c r="E264" s="45"/>
      <c r="F264" s="45"/>
      <c r="G264" s="45"/>
      <c r="H264" s="45"/>
      <c r="I264" s="56"/>
      <c r="J264" s="45"/>
      <c r="K264" s="45"/>
      <c r="L264" s="45"/>
      <c r="M264" s="45"/>
      <c r="N264" s="45"/>
      <c r="O264" s="45"/>
      <c r="P264" s="45"/>
      <c r="Q264" s="45"/>
      <c r="R264" s="45"/>
      <c r="S264" s="45"/>
      <c r="T264" s="45"/>
      <c r="U264" s="45"/>
    </row>
    <row r="265" spans="1:21">
      <c r="A265" s="45"/>
      <c r="B265" s="45"/>
      <c r="C265" s="45"/>
      <c r="D265" s="45"/>
      <c r="E265" s="45"/>
      <c r="F265" s="45"/>
      <c r="G265" s="45"/>
      <c r="H265" s="45"/>
      <c r="I265" s="56"/>
      <c r="J265" s="45"/>
      <c r="K265" s="45"/>
      <c r="L265" s="45"/>
      <c r="M265" s="45"/>
      <c r="N265" s="45"/>
      <c r="O265" s="45"/>
      <c r="P265" s="45"/>
      <c r="Q265" s="45"/>
      <c r="R265" s="45"/>
      <c r="S265" s="45"/>
      <c r="T265" s="45"/>
      <c r="U265" s="45"/>
    </row>
    <row r="266" spans="1:21">
      <c r="A266" s="45"/>
      <c r="B266" s="45"/>
      <c r="C266" s="45"/>
      <c r="D266" s="45"/>
      <c r="E266" s="45"/>
      <c r="F266" s="45"/>
      <c r="G266" s="45"/>
      <c r="H266" s="45"/>
      <c r="I266" s="56"/>
      <c r="J266" s="45"/>
      <c r="K266" s="45"/>
      <c r="L266" s="45"/>
      <c r="M266" s="45"/>
      <c r="N266" s="45"/>
      <c r="O266" s="45"/>
      <c r="P266" s="45"/>
      <c r="Q266" s="45"/>
      <c r="R266" s="45"/>
      <c r="S266" s="45"/>
      <c r="T266" s="45"/>
      <c r="U266" s="45"/>
    </row>
    <row r="267" spans="1:21">
      <c r="A267" s="45"/>
      <c r="B267" s="45"/>
      <c r="C267" s="45"/>
      <c r="D267" s="45"/>
      <c r="E267" s="45"/>
      <c r="F267" s="45"/>
      <c r="G267" s="45"/>
      <c r="H267" s="45"/>
      <c r="I267" s="56"/>
      <c r="J267" s="45"/>
      <c r="K267" s="45"/>
      <c r="L267" s="45"/>
      <c r="M267" s="45"/>
      <c r="N267" s="45"/>
      <c r="O267" s="45"/>
      <c r="P267" s="45"/>
      <c r="Q267" s="45"/>
      <c r="R267" s="45"/>
      <c r="S267" s="45"/>
      <c r="T267" s="45"/>
      <c r="U267" s="45"/>
    </row>
    <row r="268" spans="1:21">
      <c r="A268" s="45"/>
      <c r="B268" s="45"/>
      <c r="C268" s="45"/>
      <c r="D268" s="45"/>
      <c r="E268" s="45"/>
      <c r="F268" s="45"/>
      <c r="G268" s="45"/>
      <c r="H268" s="45"/>
      <c r="I268" s="56"/>
      <c r="J268" s="45"/>
      <c r="K268" s="45"/>
      <c r="L268" s="45"/>
      <c r="M268" s="45"/>
      <c r="N268" s="45"/>
      <c r="O268" s="45"/>
      <c r="P268" s="45"/>
      <c r="Q268" s="45"/>
      <c r="R268" s="45"/>
      <c r="S268" s="45"/>
      <c r="T268" s="45"/>
      <c r="U268" s="45"/>
    </row>
    <row r="269" spans="1:21">
      <c r="A269" s="45"/>
      <c r="B269" s="45"/>
      <c r="C269" s="45"/>
      <c r="D269" s="45"/>
      <c r="E269" s="45"/>
      <c r="F269" s="45"/>
      <c r="G269" s="45"/>
      <c r="H269" s="45"/>
      <c r="I269" s="56"/>
      <c r="J269" s="45"/>
      <c r="K269" s="45"/>
      <c r="L269" s="45"/>
      <c r="M269" s="45"/>
      <c r="N269" s="45"/>
      <c r="O269" s="45"/>
      <c r="P269" s="45"/>
      <c r="Q269" s="45"/>
      <c r="R269" s="45"/>
      <c r="S269" s="45"/>
      <c r="T269" s="45"/>
      <c r="U269" s="45"/>
    </row>
    <row r="270" spans="1:21">
      <c r="A270" s="45"/>
      <c r="B270" s="45"/>
      <c r="C270" s="45"/>
      <c r="D270" s="45"/>
      <c r="E270" s="45"/>
      <c r="F270" s="45"/>
      <c r="G270" s="45"/>
      <c r="H270" s="45"/>
      <c r="I270" s="56"/>
      <c r="J270" s="45"/>
      <c r="K270" s="45"/>
      <c r="L270" s="45"/>
      <c r="M270" s="45"/>
      <c r="N270" s="45"/>
      <c r="O270" s="45"/>
      <c r="P270" s="45"/>
      <c r="Q270" s="45"/>
      <c r="R270" s="45"/>
      <c r="S270" s="45"/>
      <c r="T270" s="45"/>
      <c r="U270" s="45"/>
    </row>
    <row r="271" spans="1:21">
      <c r="A271" s="45"/>
      <c r="B271" s="45"/>
      <c r="C271" s="45"/>
      <c r="D271" s="45"/>
      <c r="E271" s="45"/>
      <c r="F271" s="45"/>
      <c r="G271" s="45"/>
      <c r="H271" s="45"/>
      <c r="I271" s="56"/>
      <c r="J271" s="45"/>
      <c r="K271" s="45"/>
      <c r="L271" s="45"/>
      <c r="M271" s="45"/>
      <c r="N271" s="45"/>
      <c r="O271" s="45"/>
      <c r="P271" s="45"/>
      <c r="Q271" s="45"/>
      <c r="R271" s="45"/>
      <c r="S271" s="45"/>
      <c r="T271" s="45"/>
      <c r="U271" s="45"/>
    </row>
    <row r="272" spans="1:21">
      <c r="A272" s="45"/>
      <c r="B272" s="45"/>
      <c r="C272" s="45"/>
      <c r="D272" s="45"/>
      <c r="E272" s="45"/>
      <c r="F272" s="45"/>
      <c r="G272" s="45"/>
      <c r="H272" s="45"/>
      <c r="I272" s="56"/>
      <c r="J272" s="45"/>
      <c r="K272" s="45"/>
      <c r="L272" s="45"/>
      <c r="M272" s="45"/>
      <c r="N272" s="45"/>
      <c r="O272" s="45"/>
      <c r="P272" s="45"/>
      <c r="Q272" s="45"/>
      <c r="R272" s="45"/>
      <c r="S272" s="45"/>
      <c r="T272" s="45"/>
      <c r="U272" s="45"/>
    </row>
    <row r="273" spans="1:21">
      <c r="A273" s="45"/>
      <c r="B273" s="45"/>
      <c r="C273" s="45"/>
      <c r="D273" s="45"/>
      <c r="E273" s="45"/>
      <c r="F273" s="45"/>
      <c r="G273" s="45"/>
      <c r="H273" s="45"/>
      <c r="I273" s="56"/>
      <c r="J273" s="45"/>
      <c r="K273" s="45"/>
      <c r="L273" s="45"/>
      <c r="M273" s="45"/>
      <c r="N273" s="45"/>
      <c r="O273" s="45"/>
      <c r="P273" s="45"/>
      <c r="Q273" s="45"/>
      <c r="R273" s="45"/>
      <c r="S273" s="45"/>
      <c r="T273" s="45"/>
      <c r="U273" s="45"/>
    </row>
    <row r="274" spans="1:21">
      <c r="A274" s="45"/>
      <c r="B274" s="45"/>
      <c r="C274" s="45"/>
      <c r="D274" s="45"/>
      <c r="E274" s="45"/>
      <c r="F274" s="45"/>
      <c r="G274" s="45"/>
      <c r="H274" s="45"/>
      <c r="I274" s="56"/>
      <c r="J274" s="45"/>
      <c r="K274" s="45"/>
      <c r="L274" s="45"/>
      <c r="M274" s="45"/>
      <c r="N274" s="45"/>
      <c r="O274" s="45"/>
      <c r="P274" s="45"/>
      <c r="Q274" s="45"/>
      <c r="R274" s="45"/>
      <c r="S274" s="45"/>
      <c r="T274" s="45"/>
      <c r="U274" s="45"/>
    </row>
    <row r="275" spans="1:21">
      <c r="A275" s="45"/>
      <c r="B275" s="45"/>
      <c r="C275" s="45"/>
      <c r="D275" s="45"/>
      <c r="E275" s="45"/>
      <c r="F275" s="45"/>
      <c r="G275" s="45"/>
      <c r="H275" s="45"/>
      <c r="I275" s="56"/>
      <c r="J275" s="45"/>
      <c r="K275" s="45"/>
      <c r="L275" s="45"/>
      <c r="M275" s="45"/>
      <c r="N275" s="45"/>
      <c r="O275" s="45"/>
      <c r="P275" s="45"/>
      <c r="Q275" s="45"/>
      <c r="R275" s="45"/>
      <c r="S275" s="45"/>
      <c r="T275" s="45"/>
      <c r="U275" s="45"/>
    </row>
    <row r="276" spans="1:21">
      <c r="A276" s="45"/>
      <c r="B276" s="45"/>
      <c r="C276" s="45"/>
      <c r="D276" s="45"/>
      <c r="E276" s="45"/>
      <c r="F276" s="45"/>
      <c r="G276" s="45"/>
      <c r="H276" s="45"/>
      <c r="I276" s="56"/>
      <c r="J276" s="45"/>
      <c r="K276" s="45"/>
      <c r="L276" s="45"/>
      <c r="M276" s="45"/>
      <c r="N276" s="45"/>
      <c r="O276" s="45"/>
      <c r="P276" s="45"/>
      <c r="Q276" s="45"/>
      <c r="R276" s="45"/>
      <c r="S276" s="45"/>
      <c r="T276" s="45"/>
      <c r="U276" s="45"/>
    </row>
    <row r="277" spans="1:21">
      <c r="A277" s="45"/>
      <c r="B277" s="45"/>
      <c r="C277" s="45"/>
      <c r="D277" s="45"/>
      <c r="E277" s="45"/>
      <c r="F277" s="45"/>
      <c r="G277" s="45"/>
      <c r="H277" s="45"/>
      <c r="I277" s="56"/>
      <c r="J277" s="45"/>
      <c r="K277" s="45"/>
      <c r="L277" s="45"/>
      <c r="M277" s="45"/>
      <c r="N277" s="45"/>
      <c r="O277" s="45"/>
      <c r="P277" s="45"/>
      <c r="Q277" s="45"/>
      <c r="R277" s="45"/>
      <c r="S277" s="45"/>
      <c r="T277" s="45"/>
      <c r="U277" s="45"/>
    </row>
    <row r="278" spans="1:21">
      <c r="A278" s="45"/>
      <c r="B278" s="45"/>
      <c r="C278" s="45"/>
      <c r="D278" s="45"/>
      <c r="E278" s="45"/>
      <c r="F278" s="45"/>
      <c r="G278" s="45"/>
      <c r="H278" s="45"/>
      <c r="I278" s="56"/>
      <c r="J278" s="45"/>
      <c r="K278" s="45"/>
      <c r="L278" s="45"/>
      <c r="M278" s="45"/>
      <c r="N278" s="45"/>
      <c r="O278" s="45"/>
      <c r="P278" s="45"/>
      <c r="Q278" s="45"/>
      <c r="R278" s="45"/>
      <c r="S278" s="45"/>
      <c r="T278" s="45"/>
      <c r="U278" s="45"/>
    </row>
    <row r="279" spans="1:21">
      <c r="A279" s="45"/>
      <c r="B279" s="45"/>
      <c r="C279" s="45"/>
      <c r="D279" s="45"/>
      <c r="E279" s="45"/>
      <c r="F279" s="45"/>
      <c r="G279" s="45"/>
      <c r="H279" s="45"/>
      <c r="I279" s="56"/>
      <c r="J279" s="45"/>
      <c r="K279" s="45"/>
      <c r="L279" s="45"/>
      <c r="M279" s="45"/>
      <c r="N279" s="45"/>
      <c r="O279" s="45"/>
      <c r="P279" s="45"/>
      <c r="Q279" s="45"/>
      <c r="R279" s="45"/>
      <c r="S279" s="45"/>
      <c r="T279" s="45"/>
      <c r="U279" s="45"/>
    </row>
    <row r="280" spans="1:21">
      <c r="A280" s="45"/>
      <c r="B280" s="45"/>
      <c r="C280" s="45"/>
      <c r="D280" s="45"/>
      <c r="E280" s="45"/>
      <c r="F280" s="45"/>
      <c r="G280" s="45"/>
      <c r="H280" s="45"/>
      <c r="I280" s="56"/>
      <c r="J280" s="45"/>
      <c r="K280" s="45"/>
      <c r="L280" s="45"/>
      <c r="M280" s="45"/>
      <c r="N280" s="45"/>
      <c r="O280" s="45"/>
      <c r="P280" s="45"/>
      <c r="Q280" s="45"/>
      <c r="R280" s="45"/>
      <c r="S280" s="45"/>
      <c r="T280" s="45"/>
      <c r="U280" s="45"/>
    </row>
    <row r="281" spans="1:21">
      <c r="A281" s="45"/>
      <c r="B281" s="45"/>
      <c r="C281" s="45"/>
      <c r="D281" s="45"/>
      <c r="E281" s="45"/>
      <c r="F281" s="45"/>
      <c r="G281" s="45"/>
      <c r="H281" s="45"/>
      <c r="I281" s="56"/>
      <c r="J281" s="45"/>
      <c r="K281" s="45"/>
      <c r="L281" s="45"/>
      <c r="M281" s="45"/>
      <c r="N281" s="45"/>
      <c r="O281" s="45"/>
      <c r="P281" s="45"/>
      <c r="Q281" s="45"/>
      <c r="R281" s="45"/>
      <c r="S281" s="45"/>
      <c r="T281" s="45"/>
      <c r="U281" s="45"/>
    </row>
    <row r="282" spans="1:21">
      <c r="A282" s="45"/>
      <c r="B282" s="45"/>
      <c r="C282" s="45"/>
      <c r="D282" s="45"/>
      <c r="E282" s="45"/>
      <c r="F282" s="45"/>
      <c r="G282" s="45"/>
      <c r="H282" s="45"/>
      <c r="I282" s="56"/>
      <c r="J282" s="45"/>
      <c r="K282" s="45"/>
      <c r="L282" s="45"/>
      <c r="M282" s="45"/>
      <c r="N282" s="45"/>
      <c r="O282" s="45"/>
      <c r="P282" s="45"/>
      <c r="Q282" s="45"/>
      <c r="R282" s="45"/>
      <c r="S282" s="45"/>
      <c r="T282" s="45"/>
      <c r="U282" s="45"/>
    </row>
    <row r="283" spans="1:21">
      <c r="A283" s="45"/>
      <c r="B283" s="45"/>
      <c r="C283" s="45"/>
      <c r="D283" s="45"/>
      <c r="E283" s="45"/>
      <c r="F283" s="45"/>
      <c r="G283" s="45"/>
      <c r="H283" s="45"/>
      <c r="I283" s="56"/>
      <c r="J283" s="45"/>
      <c r="K283" s="45"/>
      <c r="L283" s="45"/>
      <c r="M283" s="45"/>
      <c r="N283" s="45"/>
      <c r="O283" s="45"/>
      <c r="P283" s="45"/>
      <c r="Q283" s="45"/>
      <c r="R283" s="45"/>
      <c r="S283" s="45"/>
      <c r="T283" s="45"/>
      <c r="U283" s="45"/>
    </row>
    <row r="284" spans="1:21">
      <c r="A284" s="45"/>
      <c r="B284" s="45"/>
      <c r="C284" s="45"/>
      <c r="D284" s="45"/>
      <c r="E284" s="45"/>
      <c r="F284" s="45"/>
      <c r="G284" s="45"/>
      <c r="H284" s="45"/>
      <c r="I284" s="56"/>
      <c r="J284" s="45"/>
      <c r="K284" s="45"/>
      <c r="L284" s="45"/>
      <c r="M284" s="45"/>
      <c r="N284" s="45"/>
      <c r="O284" s="45"/>
      <c r="P284" s="45"/>
      <c r="Q284" s="45"/>
      <c r="R284" s="45"/>
      <c r="S284" s="45"/>
      <c r="T284" s="45"/>
      <c r="U284" s="45"/>
    </row>
    <row r="285" spans="1:21">
      <c r="A285" s="45"/>
      <c r="B285" s="45"/>
      <c r="C285" s="45"/>
      <c r="D285" s="45"/>
      <c r="E285" s="45"/>
      <c r="F285" s="45"/>
      <c r="G285" s="45"/>
      <c r="H285" s="45"/>
      <c r="I285" s="56"/>
      <c r="J285" s="45"/>
      <c r="K285" s="45"/>
      <c r="L285" s="45"/>
      <c r="M285" s="45"/>
      <c r="N285" s="45"/>
      <c r="O285" s="45"/>
      <c r="P285" s="45"/>
      <c r="Q285" s="45"/>
      <c r="R285" s="45"/>
      <c r="S285" s="45"/>
      <c r="T285" s="45"/>
      <c r="U285" s="45"/>
    </row>
    <row r="286" spans="1:21">
      <c r="A286" s="45"/>
      <c r="B286" s="45"/>
      <c r="C286" s="45"/>
      <c r="D286" s="45"/>
      <c r="E286" s="45"/>
      <c r="F286" s="45"/>
      <c r="G286" s="45"/>
      <c r="H286" s="45"/>
      <c r="I286" s="56"/>
      <c r="J286" s="45"/>
      <c r="K286" s="45"/>
      <c r="L286" s="45"/>
      <c r="M286" s="45"/>
      <c r="N286" s="45"/>
      <c r="O286" s="45"/>
      <c r="P286" s="45"/>
      <c r="Q286" s="45"/>
      <c r="R286" s="45"/>
      <c r="S286" s="45"/>
      <c r="T286" s="45"/>
      <c r="U286" s="45"/>
    </row>
    <row r="287" spans="1:21">
      <c r="A287" s="45"/>
      <c r="B287" s="45"/>
      <c r="C287" s="45"/>
      <c r="D287" s="45"/>
      <c r="E287" s="45"/>
      <c r="F287" s="45"/>
      <c r="G287" s="45"/>
      <c r="H287" s="45"/>
      <c r="I287" s="56"/>
      <c r="J287" s="45"/>
      <c r="K287" s="45"/>
      <c r="L287" s="45"/>
      <c r="M287" s="45"/>
      <c r="N287" s="45"/>
      <c r="O287" s="45"/>
      <c r="P287" s="45"/>
      <c r="Q287" s="45"/>
      <c r="R287" s="45"/>
      <c r="S287" s="45"/>
      <c r="T287" s="45"/>
      <c r="U287" s="45"/>
    </row>
    <row r="288" spans="1:21">
      <c r="A288" s="45"/>
      <c r="B288" s="45"/>
      <c r="C288" s="45"/>
      <c r="D288" s="45"/>
      <c r="E288" s="45"/>
      <c r="F288" s="45"/>
      <c r="G288" s="45"/>
      <c r="H288" s="45"/>
      <c r="I288" s="56"/>
      <c r="J288" s="45"/>
      <c r="K288" s="45"/>
      <c r="L288" s="45"/>
      <c r="M288" s="45"/>
      <c r="N288" s="45"/>
      <c r="O288" s="45"/>
      <c r="P288" s="45"/>
      <c r="Q288" s="45"/>
      <c r="R288" s="45"/>
      <c r="S288" s="45"/>
      <c r="T288" s="45"/>
      <c r="U288" s="45"/>
    </row>
    <row r="289" spans="1:21">
      <c r="A289" s="45"/>
      <c r="B289" s="45"/>
      <c r="C289" s="45"/>
      <c r="D289" s="45"/>
      <c r="E289" s="45"/>
      <c r="F289" s="45"/>
      <c r="G289" s="45"/>
      <c r="H289" s="45"/>
      <c r="I289" s="56"/>
      <c r="J289" s="45"/>
      <c r="K289" s="45"/>
      <c r="L289" s="45"/>
      <c r="M289" s="45"/>
      <c r="N289" s="45"/>
      <c r="O289" s="45"/>
      <c r="P289" s="45"/>
      <c r="Q289" s="45"/>
      <c r="R289" s="45"/>
      <c r="S289" s="45"/>
      <c r="T289" s="45"/>
      <c r="U289" s="45"/>
    </row>
    <row r="290" spans="1:21">
      <c r="A290" s="45"/>
      <c r="B290" s="45"/>
      <c r="C290" s="45"/>
      <c r="D290" s="45"/>
      <c r="E290" s="45"/>
      <c r="F290" s="45"/>
      <c r="G290" s="45"/>
      <c r="H290" s="45"/>
      <c r="I290" s="56"/>
      <c r="J290" s="45"/>
      <c r="K290" s="45"/>
      <c r="L290" s="45"/>
      <c r="M290" s="45"/>
      <c r="N290" s="45"/>
      <c r="O290" s="45"/>
      <c r="P290" s="45"/>
      <c r="Q290" s="45"/>
      <c r="R290" s="45"/>
      <c r="S290" s="45"/>
      <c r="T290" s="45"/>
      <c r="U290" s="45"/>
    </row>
    <row r="291" spans="1:21">
      <c r="A291" s="45"/>
      <c r="B291" s="45"/>
      <c r="C291" s="45"/>
      <c r="D291" s="45"/>
      <c r="E291" s="45"/>
      <c r="F291" s="45"/>
      <c r="G291" s="45"/>
      <c r="H291" s="45"/>
      <c r="I291" s="56"/>
      <c r="J291" s="45"/>
      <c r="K291" s="45"/>
      <c r="L291" s="45"/>
      <c r="M291" s="45"/>
      <c r="N291" s="45"/>
      <c r="O291" s="45"/>
      <c r="P291" s="45"/>
      <c r="Q291" s="45"/>
      <c r="R291" s="45"/>
      <c r="S291" s="45"/>
      <c r="T291" s="45"/>
      <c r="U291" s="45"/>
    </row>
    <row r="292" spans="1:21">
      <c r="A292" s="45"/>
      <c r="B292" s="45"/>
      <c r="C292" s="45"/>
      <c r="D292" s="45"/>
      <c r="E292" s="45"/>
      <c r="F292" s="45"/>
      <c r="G292" s="45"/>
      <c r="H292" s="45"/>
      <c r="I292" s="56"/>
      <c r="J292" s="45"/>
      <c r="K292" s="45"/>
      <c r="L292" s="45"/>
      <c r="M292" s="45"/>
      <c r="N292" s="45"/>
      <c r="O292" s="45"/>
      <c r="P292" s="45"/>
      <c r="Q292" s="45"/>
      <c r="R292" s="45"/>
      <c r="S292" s="45"/>
      <c r="T292" s="45"/>
      <c r="U292" s="45"/>
    </row>
    <row r="293" spans="1:21">
      <c r="A293" s="45"/>
      <c r="B293" s="45"/>
      <c r="C293" s="45"/>
      <c r="D293" s="45"/>
      <c r="E293" s="45"/>
      <c r="F293" s="45"/>
      <c r="G293" s="45"/>
      <c r="H293" s="45"/>
      <c r="I293" s="56"/>
      <c r="J293" s="45"/>
      <c r="K293" s="45"/>
      <c r="L293" s="45"/>
      <c r="M293" s="45"/>
      <c r="N293" s="45"/>
      <c r="O293" s="45"/>
      <c r="P293" s="45"/>
      <c r="Q293" s="45"/>
      <c r="R293" s="45"/>
      <c r="S293" s="45"/>
      <c r="T293" s="45"/>
      <c r="U293" s="45"/>
    </row>
    <row r="294" spans="1:21">
      <c r="A294" s="45"/>
      <c r="B294" s="45"/>
      <c r="C294" s="45"/>
      <c r="D294" s="45"/>
      <c r="E294" s="45"/>
      <c r="F294" s="45"/>
      <c r="G294" s="45"/>
      <c r="H294" s="45"/>
      <c r="I294" s="56"/>
      <c r="J294" s="45"/>
      <c r="K294" s="45"/>
      <c r="L294" s="45"/>
      <c r="M294" s="45"/>
      <c r="N294" s="45"/>
      <c r="O294" s="45"/>
      <c r="P294" s="45"/>
      <c r="Q294" s="45"/>
      <c r="R294" s="45"/>
      <c r="S294" s="45"/>
      <c r="T294" s="45"/>
      <c r="U294" s="45"/>
    </row>
    <row r="295" spans="1:21">
      <c r="A295" s="45"/>
      <c r="B295" s="45"/>
      <c r="C295" s="45"/>
      <c r="D295" s="45"/>
      <c r="E295" s="45"/>
      <c r="F295" s="45"/>
      <c r="G295" s="45"/>
      <c r="H295" s="45"/>
      <c r="I295" s="56"/>
      <c r="J295" s="45"/>
      <c r="K295" s="45"/>
      <c r="L295" s="45"/>
      <c r="M295" s="45"/>
      <c r="N295" s="45"/>
      <c r="O295" s="45"/>
      <c r="P295" s="45"/>
      <c r="Q295" s="45"/>
      <c r="R295" s="45"/>
      <c r="S295" s="45"/>
      <c r="T295" s="45"/>
      <c r="U295" s="45"/>
    </row>
    <row r="296" spans="1:21">
      <c r="A296" s="45"/>
      <c r="B296" s="45"/>
      <c r="C296" s="45"/>
      <c r="D296" s="45"/>
      <c r="E296" s="45"/>
      <c r="F296" s="45"/>
      <c r="G296" s="45"/>
      <c r="H296" s="45"/>
      <c r="I296" s="56"/>
      <c r="J296" s="45"/>
      <c r="K296" s="45"/>
      <c r="L296" s="45"/>
      <c r="M296" s="45"/>
      <c r="N296" s="45"/>
      <c r="O296" s="45"/>
      <c r="P296" s="45"/>
      <c r="Q296" s="45"/>
      <c r="R296" s="45"/>
      <c r="S296" s="45"/>
      <c r="T296" s="45"/>
      <c r="U296" s="45"/>
    </row>
    <row r="297" spans="1:21">
      <c r="A297" s="45"/>
      <c r="B297" s="45"/>
      <c r="C297" s="45"/>
      <c r="D297" s="45"/>
      <c r="E297" s="45"/>
      <c r="F297" s="45"/>
      <c r="G297" s="45"/>
      <c r="H297" s="45"/>
      <c r="I297" s="56"/>
      <c r="J297" s="45"/>
      <c r="K297" s="45"/>
      <c r="L297" s="45"/>
      <c r="M297" s="45"/>
      <c r="N297" s="45"/>
      <c r="O297" s="45"/>
      <c r="P297" s="45"/>
      <c r="Q297" s="45"/>
      <c r="R297" s="45"/>
      <c r="S297" s="45"/>
      <c r="T297" s="45"/>
      <c r="U297" s="45"/>
    </row>
    <row r="298" spans="1:21">
      <c r="A298" s="45"/>
      <c r="B298" s="45"/>
      <c r="C298" s="45"/>
      <c r="D298" s="45"/>
      <c r="E298" s="45"/>
      <c r="F298" s="45"/>
      <c r="G298" s="45"/>
      <c r="H298" s="45"/>
      <c r="I298" s="56"/>
      <c r="J298" s="45"/>
      <c r="K298" s="45"/>
      <c r="L298" s="45"/>
      <c r="M298" s="45"/>
      <c r="N298" s="45"/>
      <c r="O298" s="45"/>
      <c r="P298" s="45"/>
      <c r="Q298" s="45"/>
      <c r="R298" s="45"/>
      <c r="S298" s="45"/>
      <c r="T298" s="45"/>
      <c r="U298" s="45"/>
    </row>
  </sheetData>
  <sheetProtection password="CD86" sheet="1" objects="1" scenarios="1"/>
  <mergeCells count="12">
    <mergeCell ref="J7:J8"/>
    <mergeCell ref="C20:C21"/>
    <mergeCell ref="D20:H20"/>
    <mergeCell ref="I20:I21"/>
    <mergeCell ref="A30:C30"/>
    <mergeCell ref="D7:H7"/>
    <mergeCell ref="I7:I8"/>
    <mergeCell ref="A20:A21"/>
    <mergeCell ref="B20:B21"/>
    <mergeCell ref="A7:A9"/>
    <mergeCell ref="B7:B9"/>
    <mergeCell ref="C7:C9"/>
  </mergeCells>
  <hyperlinks>
    <hyperlink ref="I22" tooltip="C.V.: _x000a_  3.14 %" display="Personas "/>
    <hyperlink ref="D22" tooltip="C.V.: _x000a_  2.29 %"/>
    <hyperlink ref="B22" tooltip="C.V.: _x000a_  1.95 %"/>
    <hyperlink ref="E22:H22" tooltip="C.V.: _x000a_  2.29 %"/>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dimension ref="A1:M48"/>
  <sheetViews>
    <sheetView zoomScale="80" zoomScaleNormal="80" zoomScalePageLayoutView="80" workbookViewId="0"/>
  </sheetViews>
  <sheetFormatPr baseColWidth="10" defaultRowHeight="14" x14ac:dyDescent="0"/>
  <cols>
    <col min="13" max="13" width="17.33203125" bestFit="1" customWidth="1"/>
  </cols>
  <sheetData>
    <row r="1" spans="1:13">
      <c r="A1" s="357"/>
      <c r="B1" s="358"/>
      <c r="C1" s="358"/>
      <c r="D1" s="358"/>
      <c r="E1" s="358"/>
      <c r="F1" s="358"/>
      <c r="G1" s="358"/>
      <c r="H1" s="358"/>
      <c r="I1" s="357"/>
      <c r="J1" s="359" t="s">
        <v>0</v>
      </c>
    </row>
    <row r="2" spans="1:13">
      <c r="A2" s="360" t="s">
        <v>1</v>
      </c>
      <c r="B2" s="358"/>
      <c r="C2" s="358"/>
      <c r="D2" s="358"/>
      <c r="E2" s="358"/>
      <c r="F2" s="358"/>
      <c r="G2" s="358"/>
      <c r="H2" s="358"/>
      <c r="I2" s="357"/>
      <c r="J2" s="357"/>
    </row>
    <row r="3" spans="1:13">
      <c r="A3" s="361"/>
      <c r="B3" s="361"/>
      <c r="C3" s="361"/>
      <c r="D3" s="361"/>
      <c r="E3" s="361"/>
      <c r="F3" s="361"/>
      <c r="G3" s="361"/>
      <c r="H3" s="362"/>
      <c r="I3" s="361"/>
      <c r="J3" s="363"/>
    </row>
    <row r="4" spans="1:13" ht="15" thickBot="1">
      <c r="A4" s="364" t="s">
        <v>2</v>
      </c>
      <c r="B4" s="365"/>
      <c r="C4" s="365"/>
      <c r="D4" s="365"/>
      <c r="E4" s="365"/>
      <c r="F4" s="365"/>
      <c r="G4" s="365"/>
      <c r="H4" s="365"/>
      <c r="I4" s="365"/>
      <c r="J4" s="366"/>
    </row>
    <row r="5" spans="1:13">
      <c r="A5" s="771" t="s">
        <v>3</v>
      </c>
      <c r="B5" s="773" t="s">
        <v>4</v>
      </c>
      <c r="C5" s="367"/>
      <c r="D5" s="775" t="s">
        <v>5</v>
      </c>
      <c r="E5" s="776"/>
      <c r="F5" s="776"/>
      <c r="G5" s="776"/>
      <c r="H5" s="776"/>
      <c r="I5" s="776"/>
      <c r="J5" s="777"/>
    </row>
    <row r="6" spans="1:13" ht="38" customHeight="1">
      <c r="A6" s="772"/>
      <c r="B6" s="774"/>
      <c r="C6" s="368"/>
      <c r="D6" s="369" t="s">
        <v>6</v>
      </c>
      <c r="E6" s="370" t="s">
        <v>7</v>
      </c>
      <c r="F6" s="370" t="s">
        <v>8</v>
      </c>
      <c r="G6" s="370" t="s">
        <v>9</v>
      </c>
      <c r="H6" s="370" t="s">
        <v>10</v>
      </c>
      <c r="I6" s="370" t="s">
        <v>11</v>
      </c>
      <c r="J6" s="371" t="s">
        <v>12</v>
      </c>
    </row>
    <row r="7" spans="1:13">
      <c r="A7" s="372"/>
      <c r="B7" s="373"/>
      <c r="C7" s="373"/>
      <c r="D7" s="374"/>
      <c r="E7" s="373"/>
      <c r="F7" s="373"/>
      <c r="G7" s="373"/>
      <c r="H7" s="365"/>
      <c r="I7" s="365"/>
      <c r="J7" s="375"/>
    </row>
    <row r="8" spans="1:13">
      <c r="A8" s="376" t="s">
        <v>13</v>
      </c>
      <c r="B8" s="377">
        <v>49305839</v>
      </c>
      <c r="C8" s="19"/>
      <c r="D8" s="378">
        <v>6462570</v>
      </c>
      <c r="E8" s="377">
        <v>11993650</v>
      </c>
      <c r="F8" s="377">
        <v>11099611</v>
      </c>
      <c r="G8" s="377">
        <v>7351432</v>
      </c>
      <c r="H8" s="377">
        <v>3391526</v>
      </c>
      <c r="I8" s="377">
        <v>3635001</v>
      </c>
      <c r="J8" s="379">
        <v>5372049</v>
      </c>
      <c r="M8" s="13"/>
    </row>
    <row r="9" spans="1:13">
      <c r="A9" s="380"/>
      <c r="B9" s="19"/>
      <c r="C9" s="19"/>
      <c r="D9" s="381"/>
      <c r="E9" s="381"/>
      <c r="F9" s="381"/>
      <c r="G9" s="381"/>
      <c r="H9" s="381"/>
      <c r="I9" s="381"/>
      <c r="J9" s="381"/>
    </row>
    <row r="10" spans="1:13">
      <c r="A10" s="380" t="s">
        <v>14</v>
      </c>
      <c r="B10" s="382">
        <v>6660593</v>
      </c>
      <c r="C10" s="381"/>
      <c r="D10" s="383">
        <v>1737199</v>
      </c>
      <c r="E10" s="382">
        <v>1654330</v>
      </c>
      <c r="F10" s="382">
        <v>693104</v>
      </c>
      <c r="G10" s="382">
        <v>205680</v>
      </c>
      <c r="H10" s="382">
        <v>95195</v>
      </c>
      <c r="I10" s="382">
        <v>1883001</v>
      </c>
      <c r="J10" s="384">
        <v>392084</v>
      </c>
    </row>
    <row r="11" spans="1:13">
      <c r="A11" s="380" t="s">
        <v>15</v>
      </c>
      <c r="B11" s="382">
        <v>3621383</v>
      </c>
      <c r="C11" s="381"/>
      <c r="D11" s="383">
        <v>204849</v>
      </c>
      <c r="E11" s="382">
        <v>681182</v>
      </c>
      <c r="F11" s="382">
        <v>1383343</v>
      </c>
      <c r="G11" s="382">
        <v>826541</v>
      </c>
      <c r="H11" s="382">
        <v>223066</v>
      </c>
      <c r="I11" s="385">
        <v>28512</v>
      </c>
      <c r="J11" s="384">
        <v>273890</v>
      </c>
    </row>
    <row r="12" spans="1:13">
      <c r="A12" s="380" t="s">
        <v>16</v>
      </c>
      <c r="B12" s="382">
        <v>7894959</v>
      </c>
      <c r="C12" s="381"/>
      <c r="D12" s="383">
        <v>771489</v>
      </c>
      <c r="E12" s="382">
        <v>2198456</v>
      </c>
      <c r="F12" s="382">
        <v>2360729</v>
      </c>
      <c r="G12" s="382">
        <v>1106047</v>
      </c>
      <c r="H12" s="382">
        <v>460126</v>
      </c>
      <c r="I12" s="382">
        <v>271228</v>
      </c>
      <c r="J12" s="384">
        <v>726884</v>
      </c>
    </row>
    <row r="13" spans="1:13">
      <c r="A13" s="380" t="s">
        <v>17</v>
      </c>
      <c r="B13" s="382">
        <v>9605567</v>
      </c>
      <c r="C13" s="381"/>
      <c r="D13" s="383">
        <v>1580452</v>
      </c>
      <c r="E13" s="382">
        <v>2633193</v>
      </c>
      <c r="F13" s="382">
        <v>1993665</v>
      </c>
      <c r="G13" s="382">
        <v>1057967</v>
      </c>
      <c r="H13" s="382">
        <v>416775</v>
      </c>
      <c r="I13" s="382">
        <v>872470</v>
      </c>
      <c r="J13" s="384">
        <v>1051045</v>
      </c>
    </row>
    <row r="14" spans="1:13">
      <c r="A14" s="380" t="s">
        <v>18</v>
      </c>
      <c r="B14" s="382">
        <v>20814985</v>
      </c>
      <c r="C14" s="381"/>
      <c r="D14" s="383">
        <v>2115945</v>
      </c>
      <c r="E14" s="382">
        <v>4743410</v>
      </c>
      <c r="F14" s="382">
        <v>4571064</v>
      </c>
      <c r="G14" s="382">
        <v>4031820</v>
      </c>
      <c r="H14" s="382">
        <v>2063940</v>
      </c>
      <c r="I14" s="382">
        <v>556434</v>
      </c>
      <c r="J14" s="384">
        <v>2732372</v>
      </c>
    </row>
    <row r="15" spans="1:13">
      <c r="A15" s="380" t="s">
        <v>19</v>
      </c>
      <c r="B15" s="382">
        <v>441366</v>
      </c>
      <c r="C15" s="381"/>
      <c r="D15" s="386">
        <v>10883</v>
      </c>
      <c r="E15" s="385">
        <v>40579</v>
      </c>
      <c r="F15" s="382">
        <v>74499</v>
      </c>
      <c r="G15" s="382">
        <v>113736</v>
      </c>
      <c r="H15" s="382">
        <v>131219</v>
      </c>
      <c r="I15" s="387">
        <v>3245</v>
      </c>
      <c r="J15" s="384">
        <v>67205</v>
      </c>
    </row>
    <row r="16" spans="1:13">
      <c r="A16" s="380" t="s">
        <v>20</v>
      </c>
      <c r="B16" s="382">
        <v>266986</v>
      </c>
      <c r="C16" s="381"/>
      <c r="D16" s="383">
        <v>41753</v>
      </c>
      <c r="E16" s="382">
        <v>42500</v>
      </c>
      <c r="F16" s="382">
        <v>23207</v>
      </c>
      <c r="G16" s="382">
        <v>9641</v>
      </c>
      <c r="H16" s="382">
        <v>1205</v>
      </c>
      <c r="I16" s="382">
        <v>20111</v>
      </c>
      <c r="J16" s="384">
        <v>128569</v>
      </c>
    </row>
    <row r="17" spans="1:10">
      <c r="A17" s="388"/>
      <c r="B17" s="10"/>
      <c r="C17" s="10"/>
      <c r="D17" s="388"/>
      <c r="E17" s="10"/>
      <c r="F17" s="10"/>
      <c r="G17" s="10"/>
      <c r="H17" s="10"/>
      <c r="I17" s="10"/>
      <c r="J17" s="389"/>
    </row>
    <row r="18" spans="1:10">
      <c r="A18" s="35" t="s">
        <v>75</v>
      </c>
      <c r="B18" s="377">
        <v>30645359</v>
      </c>
      <c r="C18" s="19"/>
      <c r="D18" s="378">
        <v>3061723</v>
      </c>
      <c r="E18" s="377">
        <v>6765366</v>
      </c>
      <c r="F18" s="377">
        <v>7713272</v>
      </c>
      <c r="G18" s="377">
        <v>5160249</v>
      </c>
      <c r="H18" s="377">
        <v>2426150</v>
      </c>
      <c r="I18" s="377">
        <v>2110519</v>
      </c>
      <c r="J18" s="379">
        <v>3408080</v>
      </c>
    </row>
    <row r="19" spans="1:10">
      <c r="A19" s="388"/>
      <c r="B19" s="19"/>
      <c r="C19" s="19"/>
      <c r="D19" s="35"/>
      <c r="E19" s="19"/>
      <c r="F19" s="19"/>
      <c r="G19" s="19"/>
      <c r="H19" s="19"/>
      <c r="I19" s="19"/>
      <c r="J19" s="14"/>
    </row>
    <row r="20" spans="1:10">
      <c r="A20" s="380" t="s">
        <v>14</v>
      </c>
      <c r="B20" s="382">
        <v>5966908</v>
      </c>
      <c r="C20" s="10"/>
      <c r="D20" s="383">
        <v>1587462</v>
      </c>
      <c r="E20" s="382">
        <v>1501246</v>
      </c>
      <c r="F20" s="382">
        <v>642739</v>
      </c>
      <c r="G20" s="382">
        <v>194368</v>
      </c>
      <c r="H20" s="382">
        <v>92216</v>
      </c>
      <c r="I20" s="382">
        <v>1570800</v>
      </c>
      <c r="J20" s="384">
        <v>378077</v>
      </c>
    </row>
    <row r="21" spans="1:10">
      <c r="A21" s="380" t="s">
        <v>15</v>
      </c>
      <c r="B21" s="382">
        <v>3495487</v>
      </c>
      <c r="C21" s="10"/>
      <c r="D21" s="383">
        <v>200459</v>
      </c>
      <c r="E21" s="382">
        <v>663664</v>
      </c>
      <c r="F21" s="382">
        <v>1355512</v>
      </c>
      <c r="G21" s="382">
        <v>796089</v>
      </c>
      <c r="H21" s="382">
        <v>202167</v>
      </c>
      <c r="I21" s="385">
        <v>20873</v>
      </c>
      <c r="J21" s="384">
        <v>256723</v>
      </c>
    </row>
    <row r="22" spans="1:10">
      <c r="A22" s="380" t="s">
        <v>16</v>
      </c>
      <c r="B22" s="382">
        <v>5040197</v>
      </c>
      <c r="C22" s="10"/>
      <c r="D22" s="383">
        <v>231876</v>
      </c>
      <c r="E22" s="382">
        <v>1236369</v>
      </c>
      <c r="F22" s="382">
        <v>1686568</v>
      </c>
      <c r="G22" s="382">
        <v>910193</v>
      </c>
      <c r="H22" s="382">
        <v>376569</v>
      </c>
      <c r="I22" s="382">
        <v>81210</v>
      </c>
      <c r="J22" s="384">
        <v>517412</v>
      </c>
    </row>
    <row r="23" spans="1:10" s="37" customFormat="1">
      <c r="A23" s="380" t="s">
        <v>17</v>
      </c>
      <c r="B23" s="382">
        <v>4731175</v>
      </c>
      <c r="C23" s="10"/>
      <c r="D23" s="383">
        <v>380416</v>
      </c>
      <c r="E23" s="382">
        <v>1220647</v>
      </c>
      <c r="F23" s="382">
        <v>1235867</v>
      </c>
      <c r="G23" s="382">
        <v>733913</v>
      </c>
      <c r="H23" s="382">
        <v>314544</v>
      </c>
      <c r="I23" s="382">
        <v>245144</v>
      </c>
      <c r="J23" s="384">
        <v>600644</v>
      </c>
    </row>
    <row r="24" spans="1:10">
      <c r="A24" s="380" t="s">
        <v>18</v>
      </c>
      <c r="B24" s="382">
        <v>10846929</v>
      </c>
      <c r="C24" s="10"/>
      <c r="D24" s="383">
        <v>627475</v>
      </c>
      <c r="E24" s="382">
        <v>2073281</v>
      </c>
      <c r="F24" s="382">
        <v>2710132</v>
      </c>
      <c r="G24" s="382">
        <v>2429111</v>
      </c>
      <c r="H24" s="382">
        <v>1326521</v>
      </c>
      <c r="I24" s="382">
        <v>182968</v>
      </c>
      <c r="J24" s="384">
        <v>1497441</v>
      </c>
    </row>
    <row r="25" spans="1:10">
      <c r="A25" s="380" t="s">
        <v>19</v>
      </c>
      <c r="B25" s="382">
        <v>372972</v>
      </c>
      <c r="C25" s="10"/>
      <c r="D25" s="386">
        <v>8711</v>
      </c>
      <c r="E25" s="385">
        <v>36525</v>
      </c>
      <c r="F25" s="382">
        <v>65978</v>
      </c>
      <c r="G25" s="382">
        <v>88535</v>
      </c>
      <c r="H25" s="382">
        <v>112972</v>
      </c>
      <c r="I25" s="387">
        <v>1600</v>
      </c>
      <c r="J25" s="384">
        <v>58651</v>
      </c>
    </row>
    <row r="26" spans="1:10">
      <c r="A26" s="380" t="s">
        <v>20</v>
      </c>
      <c r="B26" s="382">
        <v>191691</v>
      </c>
      <c r="C26" s="10"/>
      <c r="D26" s="383">
        <v>25324</v>
      </c>
      <c r="E26" s="382">
        <v>33634</v>
      </c>
      <c r="F26" s="382">
        <v>16476</v>
      </c>
      <c r="G26" s="382">
        <v>8040</v>
      </c>
      <c r="H26" s="382">
        <v>1161</v>
      </c>
      <c r="I26" s="382">
        <v>7924</v>
      </c>
      <c r="J26" s="384">
        <v>99132</v>
      </c>
    </row>
    <row r="27" spans="1:10">
      <c r="A27" s="390"/>
      <c r="B27" s="10"/>
      <c r="C27" s="10"/>
      <c r="D27" s="388"/>
      <c r="E27" s="10"/>
      <c r="F27" s="10"/>
      <c r="G27" s="10"/>
      <c r="H27" s="10"/>
      <c r="I27" s="10"/>
      <c r="J27" s="389"/>
    </row>
    <row r="28" spans="1:10">
      <c r="A28" s="391" t="s">
        <v>76</v>
      </c>
      <c r="B28" s="377">
        <v>18660480</v>
      </c>
      <c r="C28" s="19"/>
      <c r="D28" s="378">
        <v>3400847</v>
      </c>
      <c r="E28" s="377">
        <v>5228284</v>
      </c>
      <c r="F28" s="377">
        <v>3386339</v>
      </c>
      <c r="G28" s="377">
        <v>2191183</v>
      </c>
      <c r="H28" s="377">
        <v>965376</v>
      </c>
      <c r="I28" s="377">
        <v>1524482</v>
      </c>
      <c r="J28" s="379">
        <v>1963969</v>
      </c>
    </row>
    <row r="29" spans="1:10">
      <c r="A29" s="380"/>
      <c r="B29" s="19"/>
      <c r="C29" s="19"/>
      <c r="D29" s="35"/>
      <c r="E29" s="19"/>
      <c r="F29" s="19"/>
      <c r="G29" s="19"/>
      <c r="H29" s="19"/>
      <c r="I29" s="19"/>
      <c r="J29" s="14"/>
    </row>
    <row r="30" spans="1:10">
      <c r="A30" s="380" t="s">
        <v>14</v>
      </c>
      <c r="B30" s="382">
        <v>693685</v>
      </c>
      <c r="C30" s="10"/>
      <c r="D30" s="383">
        <v>149737</v>
      </c>
      <c r="E30" s="382">
        <v>153084</v>
      </c>
      <c r="F30" s="382">
        <v>50365</v>
      </c>
      <c r="G30" s="385">
        <v>11312</v>
      </c>
      <c r="H30" s="387">
        <v>2979</v>
      </c>
      <c r="I30" s="382">
        <v>312201</v>
      </c>
      <c r="J30" s="384">
        <v>14007</v>
      </c>
    </row>
    <row r="31" spans="1:10">
      <c r="A31" s="380" t="s">
        <v>15</v>
      </c>
      <c r="B31" s="382">
        <v>125896</v>
      </c>
      <c r="C31" s="10"/>
      <c r="D31" s="386">
        <v>4390</v>
      </c>
      <c r="E31" s="385">
        <v>17518</v>
      </c>
      <c r="F31" s="385">
        <v>27831</v>
      </c>
      <c r="G31" s="382">
        <v>30452</v>
      </c>
      <c r="H31" s="385">
        <v>20899</v>
      </c>
      <c r="I31" s="387">
        <v>7639</v>
      </c>
      <c r="J31" s="384">
        <v>17167</v>
      </c>
    </row>
    <row r="32" spans="1:10">
      <c r="A32" s="380" t="s">
        <v>16</v>
      </c>
      <c r="B32" s="382">
        <v>2854762</v>
      </c>
      <c r="C32" s="10"/>
      <c r="D32" s="383">
        <v>539613</v>
      </c>
      <c r="E32" s="382">
        <v>962087</v>
      </c>
      <c r="F32" s="382">
        <v>674161</v>
      </c>
      <c r="G32" s="382">
        <v>195854</v>
      </c>
      <c r="H32" s="382">
        <v>83557</v>
      </c>
      <c r="I32" s="382">
        <v>190018</v>
      </c>
      <c r="J32" s="384">
        <v>209472</v>
      </c>
    </row>
    <row r="33" spans="1:10">
      <c r="A33" s="380" t="s">
        <v>17</v>
      </c>
      <c r="B33" s="382">
        <v>4874392</v>
      </c>
      <c r="C33" s="10"/>
      <c r="D33" s="383">
        <v>1200036</v>
      </c>
      <c r="E33" s="382">
        <v>1412546</v>
      </c>
      <c r="F33" s="382">
        <v>757798</v>
      </c>
      <c r="G33" s="382">
        <v>324054</v>
      </c>
      <c r="H33" s="382">
        <v>102231</v>
      </c>
      <c r="I33" s="382">
        <v>627326</v>
      </c>
      <c r="J33" s="384">
        <v>450401</v>
      </c>
    </row>
    <row r="34" spans="1:10">
      <c r="A34" s="380" t="s">
        <v>18</v>
      </c>
      <c r="B34" s="382">
        <v>9968056</v>
      </c>
      <c r="C34" s="10"/>
      <c r="D34" s="383">
        <v>1488470</v>
      </c>
      <c r="E34" s="382">
        <v>2670129</v>
      </c>
      <c r="F34" s="382">
        <v>1860932</v>
      </c>
      <c r="G34" s="382">
        <v>1602709</v>
      </c>
      <c r="H34" s="382">
        <v>737419</v>
      </c>
      <c r="I34" s="382">
        <v>373466</v>
      </c>
      <c r="J34" s="384">
        <v>1234931</v>
      </c>
    </row>
    <row r="35" spans="1:10">
      <c r="A35" s="380" t="s">
        <v>19</v>
      </c>
      <c r="B35" s="382">
        <v>68394</v>
      </c>
      <c r="C35" s="10"/>
      <c r="D35" s="386">
        <v>2172</v>
      </c>
      <c r="E35" s="387">
        <v>4054</v>
      </c>
      <c r="F35" s="385">
        <v>8521</v>
      </c>
      <c r="G35" s="385">
        <v>25201</v>
      </c>
      <c r="H35" s="382">
        <v>18247</v>
      </c>
      <c r="I35" s="387">
        <v>1645</v>
      </c>
      <c r="J35" s="384">
        <v>8554</v>
      </c>
    </row>
    <row r="36" spans="1:10">
      <c r="A36" s="380" t="s">
        <v>20</v>
      </c>
      <c r="B36" s="382">
        <v>75295</v>
      </c>
      <c r="C36" s="10"/>
      <c r="D36" s="383">
        <v>16429</v>
      </c>
      <c r="E36" s="382">
        <v>8866</v>
      </c>
      <c r="F36" s="382">
        <v>6731</v>
      </c>
      <c r="G36" s="382">
        <v>1601</v>
      </c>
      <c r="H36" s="382">
        <v>44</v>
      </c>
      <c r="I36" s="382">
        <v>12187</v>
      </c>
      <c r="J36" s="384">
        <v>29437</v>
      </c>
    </row>
    <row r="37" spans="1:10" ht="15" thickBot="1">
      <c r="A37" s="392"/>
      <c r="B37" s="393"/>
      <c r="C37" s="393"/>
      <c r="D37" s="394"/>
      <c r="E37" s="393"/>
      <c r="F37" s="393"/>
      <c r="G37" s="393"/>
      <c r="H37" s="395"/>
      <c r="I37" s="395"/>
      <c r="J37" s="396"/>
    </row>
    <row r="38" spans="1:10">
      <c r="A38" s="397" t="s">
        <v>145</v>
      </c>
      <c r="B38" s="398"/>
      <c r="C38" s="398"/>
      <c r="D38" s="398"/>
      <c r="E38" s="398"/>
      <c r="F38" s="398"/>
      <c r="G38" s="398"/>
      <c r="H38" s="398"/>
      <c r="I38" s="398"/>
      <c r="J38" s="398"/>
    </row>
    <row r="39" spans="1:10" ht="35.5" customHeight="1">
      <c r="A39" s="769" t="s">
        <v>77</v>
      </c>
      <c r="B39" s="769"/>
      <c r="C39" s="769"/>
      <c r="D39" s="769"/>
      <c r="E39" s="769"/>
      <c r="F39" s="769"/>
      <c r="G39" s="769"/>
      <c r="H39" s="769"/>
      <c r="I39" s="769"/>
      <c r="J39" s="769"/>
    </row>
    <row r="40" spans="1:10">
      <c r="A40" s="769" t="s">
        <v>78</v>
      </c>
      <c r="B40" s="769"/>
      <c r="C40" s="769"/>
      <c r="D40" s="769"/>
      <c r="E40" s="769"/>
      <c r="F40" s="769"/>
      <c r="G40" s="769"/>
      <c r="H40" s="769"/>
      <c r="I40" s="769"/>
      <c r="J40" s="769"/>
    </row>
    <row r="41" spans="1:10">
      <c r="A41" s="778" t="s">
        <v>79</v>
      </c>
      <c r="B41" s="778"/>
      <c r="C41" s="778"/>
      <c r="D41" s="778"/>
      <c r="E41" s="778"/>
      <c r="F41" s="778"/>
      <c r="G41" s="778"/>
      <c r="H41" s="778"/>
      <c r="I41" s="778"/>
      <c r="J41" s="778"/>
    </row>
    <row r="42" spans="1:10">
      <c r="A42" s="399"/>
      <c r="B42" s="400"/>
      <c r="C42" s="400"/>
      <c r="D42" s="400"/>
      <c r="E42" s="400"/>
      <c r="F42" s="400"/>
      <c r="G42" s="400"/>
      <c r="H42" s="400"/>
      <c r="I42" s="400"/>
      <c r="J42" s="401"/>
    </row>
    <row r="43" spans="1:10">
      <c r="A43" s="770" t="s">
        <v>80</v>
      </c>
      <c r="B43" s="770"/>
      <c r="C43" s="770"/>
      <c r="D43" s="770"/>
      <c r="E43" s="770"/>
      <c r="F43" s="770"/>
      <c r="G43" s="770"/>
      <c r="H43" s="770"/>
      <c r="I43" s="770"/>
      <c r="J43" s="770"/>
    </row>
    <row r="44" spans="1:10">
      <c r="A44" s="402"/>
      <c r="B44" s="403"/>
      <c r="C44" s="403"/>
      <c r="D44" s="403"/>
      <c r="E44" s="404"/>
      <c r="F44" s="404"/>
      <c r="G44" s="404"/>
      <c r="H44" s="404"/>
      <c r="I44" s="404"/>
      <c r="J44" s="404"/>
    </row>
    <row r="45" spans="1:10">
      <c r="A45" s="11" t="s">
        <v>81</v>
      </c>
      <c r="B45" s="12"/>
      <c r="C45" s="12"/>
      <c r="D45" s="12"/>
      <c r="E45" s="401"/>
      <c r="F45" s="401"/>
      <c r="G45" s="401"/>
      <c r="H45" s="401"/>
      <c r="I45" s="401"/>
      <c r="J45" s="401"/>
    </row>
    <row r="46" spans="1:10">
      <c r="A46" s="11" t="s">
        <v>82</v>
      </c>
      <c r="B46" s="12"/>
      <c r="C46" s="12"/>
      <c r="D46" s="12"/>
      <c r="E46" s="401"/>
      <c r="F46" s="401"/>
      <c r="G46" s="401"/>
      <c r="H46" s="401"/>
      <c r="I46" s="401"/>
      <c r="J46" s="401"/>
    </row>
    <row r="47" spans="1:10">
      <c r="A47" s="11" t="s">
        <v>83</v>
      </c>
      <c r="B47" s="12"/>
      <c r="C47" s="12"/>
      <c r="D47" s="12"/>
      <c r="E47" s="401"/>
      <c r="F47" s="401"/>
      <c r="G47" s="401"/>
      <c r="H47" s="401"/>
      <c r="I47" s="401"/>
      <c r="J47" s="401"/>
    </row>
    <row r="48" spans="1:10" ht="15">
      <c r="A48" s="32"/>
    </row>
  </sheetData>
  <sheetProtection password="CD86" sheet="1" objects="1" scenarios="1"/>
  <mergeCells count="7">
    <mergeCell ref="A39:J39"/>
    <mergeCell ref="A43:J43"/>
    <mergeCell ref="A5:A6"/>
    <mergeCell ref="B5:B6"/>
    <mergeCell ref="D5:J5"/>
    <mergeCell ref="A40:J40"/>
    <mergeCell ref="A41:J41"/>
  </mergeCells>
  <hyperlinks>
    <hyperlink ref="B8" tooltip="C.V.: _x000a_  0.44 %"/>
    <hyperlink ref="D8" tooltip="C.V.: _x000a_  1.36 %"/>
    <hyperlink ref="E8" tooltip="C.V.: _x000a_  1.03 %"/>
    <hyperlink ref="F8" tooltip="C.V.: _x000a_  0.97 %"/>
    <hyperlink ref="B10" tooltip="C.V.: _x000a_  1.95 %"/>
    <hyperlink ref="B11" tooltip="C.V.: _x000a_  1.77 %"/>
    <hyperlink ref="B12" tooltip="C.V.: _x000a_  1.28 %"/>
    <hyperlink ref="B13" tooltip="C.V.: _x000a_  1.06 %"/>
    <hyperlink ref="B14" tooltip="C.V.: _x000a_  0.70 %"/>
    <hyperlink ref="B15" tooltip="C.V.: _x000a_  5.38 %"/>
    <hyperlink ref="B16" tooltip="C.V.: _x000a_  5.39 %"/>
    <hyperlink ref="D10" tooltip="C.V.: _x000a_  3.14 %"/>
    <hyperlink ref="E10" tooltip="C.V.: _x000a_  3.45 %"/>
    <hyperlink ref="F10" tooltip="C.V.: _x000a_  4.69 %"/>
    <hyperlink ref="D11" tooltip="C.V.: _x000a_  5.99 %"/>
    <hyperlink ref="E11" tooltip="C.V.: _x000a_  3.41 %"/>
    <hyperlink ref="F11" tooltip="C.V.: _x000a_  2.65 %"/>
    <hyperlink ref="D12" tooltip="C.V.: _x000a_  3.89 %"/>
    <hyperlink ref="E12" tooltip="C.V.: _x000a_  2.30 %"/>
    <hyperlink ref="F12" tooltip="C.V.: _x000a_  2.07 %"/>
    <hyperlink ref="D13" tooltip="C.V.: _x000a_  2.29 %"/>
    <hyperlink ref="E13" tooltip="C.V.: _x000a_  1.92 %"/>
    <hyperlink ref="F13" tooltip="C.V.: _x000a_  2.07 %"/>
    <hyperlink ref="D14" tooltip="C.V.: _x000a_  1.94 %"/>
    <hyperlink ref="E14" tooltip="C.V.: _x000a_  1.41 %"/>
    <hyperlink ref="F14" tooltip="C.V.: _x000a_  1.44 %"/>
    <hyperlink ref="G14" tooltip="C.V.: _x000a_  1.56 %"/>
    <hyperlink ref="H14" tooltip="C.V.: _x000a_  2.08 %"/>
    <hyperlink ref="I14" tooltip="C.V.: _x000a_  4.16 %"/>
    <hyperlink ref="J14" tooltip="C.V.: _x000a_  2.19 %"/>
    <hyperlink ref="D15" tooltip="C.V.: _x000a_ 41.47 %"/>
    <hyperlink ref="E15" tooltip="C.V.: _x000a_ 15.46 %"/>
    <hyperlink ref="F15" tooltip="C.V.: _x000a_ 10.86 %"/>
    <hyperlink ref="G15" tooltip="C.V.: _x000a_  8.88 %"/>
    <hyperlink ref="H15" tooltip="C.V.: _x000a_  7.68 %"/>
    <hyperlink ref="I15" tooltip="C.V.: _x000a_ 35.81 %"/>
    <hyperlink ref="J15" tooltip="C.V.: _x000a_  9.72 %"/>
    <hyperlink ref="D16" tooltip="C.V.: _x000a_ 16.82 %"/>
    <hyperlink ref="E16" tooltip="C.V.: _x000a_ 17.76 %"/>
    <hyperlink ref="F16" tooltip="C.V.: _x000a_ 16.18 %"/>
    <hyperlink ref="G16" tooltip="C.V.: _x000a_ 19.70 %"/>
    <hyperlink ref="H16" tooltip="C.V.: _x000a_ 73.18 %"/>
    <hyperlink ref="I16" tooltip="C.V.: _x000a_ 15.34 %"/>
    <hyperlink ref="J16" tooltip="C.V.: _x000a_  6.53 %"/>
    <hyperlink ref="B18" tooltip="C.V.: _x000a_  0.49 %"/>
    <hyperlink ref="B28" tooltip="C.V.: _x000a_  0.67 %"/>
    <hyperlink ref="B20" tooltip="C.V.: _x000a_  1.89 %"/>
    <hyperlink ref="B21" tooltip="C.V.: _x000a_  1.80 %"/>
    <hyperlink ref="B22" tooltip="C.V.: _x000a_  1.42 %"/>
    <hyperlink ref="B23" tooltip="C.V.: _x000a_  1.41 %"/>
    <hyperlink ref="B24" tooltip="C.V.: _x000a_  0.85 %"/>
    <hyperlink ref="B25" tooltip="C.V.: _x000a_  5.94 %"/>
    <hyperlink ref="B26" tooltip="C.V.: _x000a_  6.33 %"/>
    <hyperlink ref="B30" tooltip="C.V.: _x000a_  5.30 %"/>
    <hyperlink ref="B31" tooltip="C.V.: _x000a_  6.74 %"/>
    <hyperlink ref="B32" tooltip="C.V.: _x000a_  1.88 %"/>
    <hyperlink ref="B33" tooltip="C.V.: _x000a_  1.30 %"/>
    <hyperlink ref="B34" tooltip="C.V.: _x000a_  0.91 %"/>
    <hyperlink ref="B35" tooltip="C.V.: _x000a_  8.68 %"/>
    <hyperlink ref="B36" tooltip="C.V.: _x000a_  8.54 %"/>
    <hyperlink ref="D18" tooltip="C.V.: _x000a_  1.95 %"/>
    <hyperlink ref="E18" tooltip="C.V.: _x000a_  1.28 %"/>
    <hyperlink ref="F18" tooltip="C.V.: _x000a_  1.09 %"/>
    <hyperlink ref="G18" tooltip="C.V.: _x000a_  1.26 %"/>
    <hyperlink ref="H18" tooltip="C.V.: _x000a_  1.79 %"/>
    <hyperlink ref="I18" tooltip="C.V.: _x000a_  2.79 %"/>
    <hyperlink ref="J18" tooltip="C.V.: _x000a_  1.82 %"/>
    <hyperlink ref="D28" tooltip="C.V.: _x000a_  1.62 %"/>
    <hyperlink ref="E28" tooltip="C.V.: _x000a_  1.32 %"/>
    <hyperlink ref="F28" tooltip="C.V.: _x000a_  1.54 %"/>
    <hyperlink ref="G28" tooltip="C.V.: _x000a_  1.99 %"/>
    <hyperlink ref="H28" tooltip="C.V.: _x000a_  2.74 %"/>
    <hyperlink ref="I28" tooltip="C.V.: _x000a_  2.60 %"/>
    <hyperlink ref="J28" tooltip="C.V.: _x000a_  2.28 %"/>
    <hyperlink ref="D20" tooltip="C.V.: _x000a_  3.13 %"/>
    <hyperlink ref="E20" tooltip="C.V.: _x000a_  3.34 %"/>
    <hyperlink ref="F20" tooltip="C.V.: _x000a_  4.51 %"/>
    <hyperlink ref="G20" tooltip="C.V.: _x000a_  6.85 %"/>
    <hyperlink ref="H20" tooltip="C.V.: _x000a_ 10.60 %"/>
    <hyperlink ref="I20" tooltip="C.V.: _x000a_  3.57 %"/>
    <hyperlink ref="J20" tooltip="C.V.: _x000a_  5.04 %"/>
    <hyperlink ref="D21" tooltip="C.V.: _x000a_  5.99 %"/>
    <hyperlink ref="E21" tooltip="C.V.: _x000a_  3.47 %"/>
    <hyperlink ref="F21" tooltip="C.V.: _x000a_  2.67 %"/>
    <hyperlink ref="G21" tooltip="C.V.: _x000a_  3.35 %"/>
    <hyperlink ref="H21" tooltip="C.V.: _x000a_  5.40 %"/>
    <hyperlink ref="I21" tooltip="C.V.: _x000a_ 21.88 %"/>
    <hyperlink ref="J21" tooltip="C.V.: _x000a_  5.29 %"/>
    <hyperlink ref="D22" tooltip="C.V.: _x000a_  6.04 %"/>
    <hyperlink ref="E22" tooltip="C.V.: _x000a_  2.94 %"/>
    <hyperlink ref="F22" tooltip="C.V.: _x000a_  2.28 %"/>
    <hyperlink ref="G22" tooltip="C.V.: _x000a_  2.84 %"/>
    <hyperlink ref="H22" tooltip="C.V.: _x000a_  4.24 %"/>
    <hyperlink ref="I22" tooltip="C.V.: _x000a_  9.44 %"/>
    <hyperlink ref="J22" tooltip="C.V.: _x000a_  4.02 %"/>
    <hyperlink ref="D23" tooltip="C.V.: _x000a_  4.68 %"/>
    <hyperlink ref="E23" tooltip="C.V.: _x000a_  2.80 %"/>
    <hyperlink ref="F23" tooltip="C.V.: _x000a_  2.61 %"/>
    <hyperlink ref="G23" tooltip="C.V.: _x000a_  3.18 %"/>
    <hyperlink ref="H23" tooltip="C.V.: _x000a_  4.60 %"/>
    <hyperlink ref="I23" tooltip="C.V.: _x000a_  5.59 %"/>
    <hyperlink ref="J23" tooltip="C.V.: _x000a_  3.83 %"/>
    <hyperlink ref="D24" tooltip="C.V.: _x000a_  3.29 %"/>
    <hyperlink ref="E24" tooltip="C.V.: _x000a_  2.00 %"/>
    <hyperlink ref="F24" tooltip="C.V.: _x000a_  1.75 %"/>
    <hyperlink ref="G24" tooltip="C.V.: _x000a_  1.84 %"/>
    <hyperlink ref="H24" tooltip="C.V.: _x000a_  2.31 %"/>
    <hyperlink ref="I24" tooltip="C.V.: _x000a_  6.84 %"/>
    <hyperlink ref="J24" tooltip="C.V.: _x000a_  2.45 %"/>
    <hyperlink ref="D25" tooltip="C.V.: _x000a_ 50.02 %"/>
    <hyperlink ref="E25" tooltip="C.V.: _x000a_ 16.56 %"/>
    <hyperlink ref="F25" tooltip="C.V.: _x000a_ 11.87 %"/>
    <hyperlink ref="G25" tooltip="C.V.: _x000a_  9.39 %"/>
    <hyperlink ref="H25" tooltip="C.V.: _x000a_  8.36 %"/>
    <hyperlink ref="I25" tooltip="C.V.: _x000a_ 50.55 %"/>
    <hyperlink ref="J25" tooltip="C.V.: _x000a_ 10.34 %"/>
    <hyperlink ref="D26" tooltip="C.V.: _x000a_ 20.42 %"/>
    <hyperlink ref="E26" tooltip="C.V.: _x000a_ 21.27 %"/>
    <hyperlink ref="F26" tooltip="C.V.: _x000a_ 19.43 %"/>
    <hyperlink ref="G26" tooltip="C.V.: _x000a_ 22.33 %"/>
    <hyperlink ref="H26" tooltip="C.V.: _x000a_ 75.86 %"/>
    <hyperlink ref="I26" tooltip="C.V.: _x000a_ 23.35 %"/>
    <hyperlink ref="J26" tooltip="C.V.: _x000a_  7.09 %"/>
    <hyperlink ref="D30" tooltip="C.V.: _x000a_  8.69 %"/>
    <hyperlink ref="E30" tooltip="C.V.: _x000a_ 10.88 %"/>
    <hyperlink ref="F30" tooltip="C.V.: _x000a_ 14.24 %"/>
    <hyperlink ref="G30" tooltip="C.V.: _x000a_ 20.33 %"/>
    <hyperlink ref="H30" tooltip="C.V.: _x000a_ 38.18 %"/>
    <hyperlink ref="I30" tooltip="C.V.: _x000a_  7.42 %"/>
    <hyperlink ref="J30" tooltip="C.V.: _x000a_ 20.61 %"/>
    <hyperlink ref="D31" tooltip="C.V.: _x000a_ 40.29 %"/>
    <hyperlink ref="E31" tooltip="C.V.: _x000a_ 15.20 %"/>
    <hyperlink ref="F31" tooltip="C.V.: _x000a_ 16.11 %"/>
    <hyperlink ref="G31" tooltip="C.V.: _x000a_ 12.80 %"/>
    <hyperlink ref="H31" tooltip="C.V.: _x000a_ 17.38 %"/>
    <hyperlink ref="I31" tooltip="C.V.: _x000a_ 30.11 %"/>
    <hyperlink ref="J31" tooltip="C.V.: _x000a_ 15.56 %"/>
    <hyperlink ref="D32" tooltip="C.V.: _x000a_  4.67 %"/>
    <hyperlink ref="E32" tooltip="C.V.: _x000a_  2.96 %"/>
    <hyperlink ref="F32" tooltip="C.V.: _x000a_  3.35 %"/>
    <hyperlink ref="G32" tooltip="C.V.: _x000a_  6.34 %"/>
    <hyperlink ref="H32" tooltip="C.V.: _x000a_  8.80 %"/>
    <hyperlink ref="I32" tooltip="C.V.: _x000a_  7.20 %"/>
    <hyperlink ref="J32" tooltip="C.V.: _x000a_  5.45 %"/>
    <hyperlink ref="D33" tooltip="C.V.: _x000a_  2.53 %"/>
    <hyperlink ref="E33" tooltip="C.V.: _x000a_  2.32 %"/>
    <hyperlink ref="F33" tooltip="C.V.: _x000a_  2.94 %"/>
    <hyperlink ref="G33" tooltip="C.V.: _x000a_  4.46 %"/>
    <hyperlink ref="H33" tooltip="C.V.: _x000a_  7.74 %"/>
    <hyperlink ref="I33" tooltip="C.V.: _x000a_  3.71 %"/>
    <hyperlink ref="J33" tooltip="C.V.: _x000a_  3.80 %"/>
    <hyperlink ref="D34" tooltip="C.V.: _x000a_  2.28 %"/>
    <hyperlink ref="E34" tooltip="C.V.: _x000a_  1.73 %"/>
    <hyperlink ref="F34" tooltip="C.V.: _x000a_  2.16 %"/>
    <hyperlink ref="G34" tooltip="C.V.: _x000a_  2.37 %"/>
    <hyperlink ref="H34" tooltip="C.V.: _x000a_  3.14 %"/>
    <hyperlink ref="I34" tooltip="C.V.: _x000a_  4.54 %"/>
    <hyperlink ref="J34" tooltip="C.V.: _x000a_  2.83 %"/>
    <hyperlink ref="D35" tooltip="C.V.: _x000a_ 54.07 %"/>
    <hyperlink ref="E35" tooltip="C.V.: _x000a_ 36.19 %"/>
    <hyperlink ref="F35" tooltip="C.V.: _x000a_ 23.63 %"/>
    <hyperlink ref="G35" tooltip="C.V.: _x000a_ 16.13 %"/>
    <hyperlink ref="H35" tooltip="C.V.: _x000a_ 14.17 %"/>
    <hyperlink ref="I35" tooltip="C.V.: _x000a_ 50.73 %"/>
    <hyperlink ref="J35" tooltip="C.V.: _x000a_ 22.92 %"/>
    <hyperlink ref="D36" tooltip="C.V.: _x000a_ 22.33 %"/>
    <hyperlink ref="E36" tooltip="C.V.: _x000a_ 22.72 %"/>
    <hyperlink ref="F36" tooltip="C.V.: _x000a_ 27.56 %"/>
    <hyperlink ref="G36" tooltip="C.V.: _x000a_ 38.72 %"/>
    <hyperlink ref="H36" tooltip="C.V.: _x000a_100.00 %"/>
    <hyperlink ref="I36" tooltip="C.V.: _x000a_ 19.66 %"/>
    <hyperlink ref="J36" tooltip="C.V.: _x000a_ 12.92 %"/>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A1:P115"/>
  <sheetViews>
    <sheetView zoomScale="80" zoomScaleNormal="80" zoomScalePageLayoutView="80" workbookViewId="0"/>
  </sheetViews>
  <sheetFormatPr baseColWidth="10" defaultRowHeight="14" x14ac:dyDescent="0"/>
  <cols>
    <col min="1" max="1" width="1.6640625" style="68" customWidth="1"/>
    <col min="2" max="2" width="2.6640625" style="68" customWidth="1"/>
    <col min="3" max="4" width="1.6640625" style="68" customWidth="1"/>
    <col min="5" max="5" width="40.5" style="67" customWidth="1"/>
    <col min="6" max="6" width="9.83203125" style="67" customWidth="1"/>
    <col min="7" max="7" width="16.33203125" style="66" bestFit="1" customWidth="1"/>
    <col min="8" max="8" width="9.83203125" style="66" customWidth="1"/>
    <col min="9" max="9" width="9.5" style="74" customWidth="1"/>
    <col min="10" max="10" width="9.6640625" style="66" customWidth="1"/>
    <col min="11" max="12" width="12.33203125" style="66" bestFit="1" customWidth="1"/>
  </cols>
  <sheetData>
    <row r="1" spans="1:12">
      <c r="A1" s="140" t="s">
        <v>326</v>
      </c>
    </row>
    <row r="3" spans="1:12">
      <c r="A3" s="139" t="s">
        <v>325</v>
      </c>
      <c r="B3" s="135"/>
      <c r="C3" s="135"/>
      <c r="D3" s="135"/>
      <c r="E3" s="134"/>
      <c r="F3" s="134"/>
      <c r="G3" s="138"/>
      <c r="H3" s="138"/>
      <c r="I3" s="141"/>
      <c r="J3" s="138"/>
      <c r="K3" s="138"/>
      <c r="L3" s="138"/>
    </row>
    <row r="4" spans="1:12">
      <c r="A4" s="1" t="s">
        <v>324</v>
      </c>
      <c r="B4" s="135"/>
      <c r="C4" s="135"/>
      <c r="D4" s="135"/>
      <c r="E4" s="134"/>
      <c r="F4" s="134"/>
      <c r="G4" s="137"/>
      <c r="H4" s="137"/>
      <c r="I4" s="142"/>
      <c r="J4" s="137"/>
      <c r="K4" s="137"/>
      <c r="L4" s="137"/>
    </row>
    <row r="5" spans="1:12" ht="15" thickBot="1">
      <c r="A5" s="136" t="s">
        <v>13</v>
      </c>
      <c r="B5" s="135"/>
      <c r="C5" s="135"/>
      <c r="D5" s="135"/>
      <c r="E5" s="134"/>
      <c r="F5" s="133"/>
      <c r="G5" s="132"/>
      <c r="H5" s="132"/>
      <c r="I5" s="143"/>
      <c r="J5" s="132"/>
      <c r="K5" s="132"/>
      <c r="L5" s="132"/>
    </row>
    <row r="6" spans="1:12" ht="15" thickBot="1">
      <c r="A6" s="780" t="s">
        <v>323</v>
      </c>
      <c r="B6" s="781"/>
      <c r="C6" s="781"/>
      <c r="D6" s="781"/>
      <c r="E6" s="782"/>
      <c r="F6" s="789" t="s">
        <v>88</v>
      </c>
      <c r="G6" s="790"/>
      <c r="H6" s="790"/>
      <c r="I6" s="790"/>
      <c r="J6" s="790"/>
      <c r="K6" s="790"/>
      <c r="L6" s="791"/>
    </row>
    <row r="7" spans="1:12" ht="15" thickBot="1">
      <c r="A7" s="783"/>
      <c r="B7" s="784"/>
      <c r="C7" s="784"/>
      <c r="D7" s="784"/>
      <c r="E7" s="785"/>
      <c r="F7" s="792" t="s">
        <v>4</v>
      </c>
      <c r="G7" s="795" t="s">
        <v>322</v>
      </c>
      <c r="H7" s="797" t="s">
        <v>321</v>
      </c>
      <c r="I7" s="798"/>
      <c r="J7" s="798"/>
      <c r="K7" s="798"/>
      <c r="L7" s="799"/>
    </row>
    <row r="8" spans="1:12" ht="15" customHeight="1" thickBot="1">
      <c r="A8" s="783"/>
      <c r="B8" s="784"/>
      <c r="C8" s="784"/>
      <c r="D8" s="784"/>
      <c r="E8" s="785"/>
      <c r="F8" s="793"/>
      <c r="G8" s="795"/>
      <c r="H8" s="795" t="s">
        <v>318</v>
      </c>
      <c r="I8" s="795" t="s">
        <v>320</v>
      </c>
      <c r="J8" s="800" t="s">
        <v>319</v>
      </c>
      <c r="K8" s="801"/>
      <c r="L8" s="802"/>
    </row>
    <row r="9" spans="1:12" ht="21" thickBot="1">
      <c r="A9" s="786"/>
      <c r="B9" s="787"/>
      <c r="C9" s="787"/>
      <c r="D9" s="787"/>
      <c r="E9" s="788"/>
      <c r="F9" s="794"/>
      <c r="G9" s="796"/>
      <c r="H9" s="796"/>
      <c r="I9" s="796"/>
      <c r="J9" s="159" t="s">
        <v>318</v>
      </c>
      <c r="K9" s="159" t="s">
        <v>317</v>
      </c>
      <c r="L9" s="159" t="s">
        <v>316</v>
      </c>
    </row>
    <row r="10" spans="1:12">
      <c r="A10" s="131"/>
      <c r="B10" s="96" t="s">
        <v>315</v>
      </c>
      <c r="C10" s="130"/>
      <c r="D10" s="130"/>
      <c r="E10" s="129"/>
      <c r="F10" s="128">
        <v>49305839</v>
      </c>
      <c r="G10" s="127">
        <v>20616378</v>
      </c>
      <c r="H10" s="127">
        <v>28689461</v>
      </c>
      <c r="I10" s="127">
        <v>13736968</v>
      </c>
      <c r="J10" s="127">
        <v>14952493</v>
      </c>
      <c r="K10" s="127">
        <v>8934920</v>
      </c>
      <c r="L10" s="127">
        <v>6017573</v>
      </c>
    </row>
    <row r="11" spans="1:12">
      <c r="A11" s="103"/>
      <c r="B11" s="102"/>
      <c r="C11" s="101"/>
      <c r="D11" s="101"/>
      <c r="E11" s="100"/>
      <c r="F11" s="99"/>
      <c r="G11" s="98"/>
      <c r="H11" s="98"/>
      <c r="I11" s="98"/>
      <c r="J11" s="98"/>
      <c r="K11" s="98"/>
      <c r="L11" s="98"/>
    </row>
    <row r="12" spans="1:12">
      <c r="A12" s="110"/>
      <c r="B12" s="109">
        <v>1.1000000000000001</v>
      </c>
      <c r="C12" s="108" t="s">
        <v>314</v>
      </c>
      <c r="D12" s="108"/>
      <c r="E12" s="107"/>
      <c r="F12" s="106">
        <v>49305839</v>
      </c>
      <c r="G12" s="105">
        <v>20616378</v>
      </c>
      <c r="H12" s="105">
        <v>28689461</v>
      </c>
      <c r="I12" s="105">
        <v>13736968</v>
      </c>
      <c r="J12" s="105">
        <v>14952493</v>
      </c>
      <c r="K12" s="105">
        <v>8934920</v>
      </c>
      <c r="L12" s="105">
        <v>6017573</v>
      </c>
    </row>
    <row r="13" spans="1:12">
      <c r="A13" s="103"/>
      <c r="B13" s="102" t="s">
        <v>313</v>
      </c>
      <c r="C13" s="101"/>
      <c r="D13" s="101"/>
      <c r="E13" s="100"/>
      <c r="F13" s="99">
        <v>9011553</v>
      </c>
      <c r="G13" s="98">
        <v>2757296</v>
      </c>
      <c r="H13" s="98">
        <v>6254257</v>
      </c>
      <c r="I13" s="98">
        <v>2378542</v>
      </c>
      <c r="J13" s="98">
        <v>3875715</v>
      </c>
      <c r="K13" s="98">
        <v>2463777</v>
      </c>
      <c r="L13" s="98">
        <v>1411938</v>
      </c>
    </row>
    <row r="14" spans="1:12">
      <c r="A14" s="103"/>
      <c r="B14" s="102" t="s">
        <v>312</v>
      </c>
      <c r="C14" s="101"/>
      <c r="D14" s="101"/>
      <c r="E14" s="100"/>
      <c r="F14" s="99">
        <v>24033656</v>
      </c>
      <c r="G14" s="98">
        <v>11569136</v>
      </c>
      <c r="H14" s="98">
        <v>12464520</v>
      </c>
      <c r="I14" s="98">
        <v>6090725</v>
      </c>
      <c r="J14" s="98">
        <v>6373795</v>
      </c>
      <c r="K14" s="98">
        <v>4211010</v>
      </c>
      <c r="L14" s="98">
        <v>2162785</v>
      </c>
    </row>
    <row r="15" spans="1:12">
      <c r="A15" s="103"/>
      <c r="B15" s="102" t="s">
        <v>311</v>
      </c>
      <c r="C15" s="101"/>
      <c r="D15" s="101"/>
      <c r="E15" s="100"/>
      <c r="F15" s="99">
        <v>13914831</v>
      </c>
      <c r="G15" s="98">
        <v>5804799</v>
      </c>
      <c r="H15" s="98">
        <v>8110032</v>
      </c>
      <c r="I15" s="98">
        <v>4390778</v>
      </c>
      <c r="J15" s="98">
        <v>3719254</v>
      </c>
      <c r="K15" s="98">
        <v>1992417</v>
      </c>
      <c r="L15" s="98">
        <v>1726837</v>
      </c>
    </row>
    <row r="16" spans="1:12">
      <c r="A16" s="103"/>
      <c r="B16" s="102" t="s">
        <v>310</v>
      </c>
      <c r="C16" s="101"/>
      <c r="D16" s="101"/>
      <c r="E16" s="100"/>
      <c r="F16" s="99">
        <v>2324992</v>
      </c>
      <c r="G16" s="98">
        <v>475753</v>
      </c>
      <c r="H16" s="98">
        <v>1849239</v>
      </c>
      <c r="I16" s="98">
        <v>873882</v>
      </c>
      <c r="J16" s="98">
        <v>975357</v>
      </c>
      <c r="K16" s="98">
        <v>261723</v>
      </c>
      <c r="L16" s="98">
        <v>713634</v>
      </c>
    </row>
    <row r="17" spans="1:12">
      <c r="A17" s="103"/>
      <c r="B17" s="102" t="s">
        <v>279</v>
      </c>
      <c r="C17" s="101"/>
      <c r="D17" s="101"/>
      <c r="E17" s="100"/>
      <c r="F17" s="99">
        <v>20807</v>
      </c>
      <c r="G17" s="98">
        <v>9394</v>
      </c>
      <c r="H17" s="98">
        <v>11413</v>
      </c>
      <c r="I17" s="98">
        <v>3041</v>
      </c>
      <c r="J17" s="98">
        <v>8372</v>
      </c>
      <c r="K17" s="98">
        <v>5993</v>
      </c>
      <c r="L17" s="98">
        <v>2379</v>
      </c>
    </row>
    <row r="18" spans="1:12">
      <c r="A18" s="103"/>
      <c r="B18" s="102"/>
      <c r="C18" s="101"/>
      <c r="D18" s="101"/>
      <c r="E18" s="100"/>
      <c r="F18" s="99"/>
      <c r="G18" s="98"/>
      <c r="H18" s="98"/>
      <c r="I18" s="98"/>
      <c r="J18" s="98"/>
      <c r="K18" s="98"/>
      <c r="L18" s="98"/>
    </row>
    <row r="19" spans="1:12">
      <c r="A19" s="124"/>
      <c r="B19" s="109">
        <v>1.2</v>
      </c>
      <c r="C19" s="108" t="s">
        <v>309</v>
      </c>
      <c r="D19" s="108"/>
      <c r="E19" s="107"/>
      <c r="F19" s="106">
        <v>49305839</v>
      </c>
      <c r="G19" s="105">
        <v>20616378</v>
      </c>
      <c r="H19" s="105">
        <v>28689461</v>
      </c>
      <c r="I19" s="105">
        <v>13736968</v>
      </c>
      <c r="J19" s="105">
        <v>14952493</v>
      </c>
      <c r="K19" s="105">
        <v>8934920</v>
      </c>
      <c r="L19" s="105">
        <v>6017573</v>
      </c>
    </row>
    <row r="20" spans="1:12">
      <c r="A20" s="103"/>
      <c r="B20" s="102" t="s">
        <v>308</v>
      </c>
      <c r="C20" s="87"/>
      <c r="D20" s="87"/>
      <c r="E20" s="100"/>
      <c r="F20" s="99">
        <v>6726694</v>
      </c>
      <c r="G20" s="98">
        <v>796918</v>
      </c>
      <c r="H20" s="98">
        <v>5929776</v>
      </c>
      <c r="I20" s="98">
        <v>2538704</v>
      </c>
      <c r="J20" s="98">
        <v>3391072</v>
      </c>
      <c r="K20" s="98">
        <v>980169</v>
      </c>
      <c r="L20" s="98">
        <v>2410903</v>
      </c>
    </row>
    <row r="21" spans="1:12">
      <c r="A21" s="103"/>
      <c r="B21" s="102" t="s">
        <v>307</v>
      </c>
      <c r="C21" s="87"/>
      <c r="D21" s="87"/>
      <c r="E21" s="100"/>
      <c r="F21" s="99">
        <v>9710198</v>
      </c>
      <c r="G21" s="98">
        <v>2205900</v>
      </c>
      <c r="H21" s="98">
        <v>7504298</v>
      </c>
      <c r="I21" s="98">
        <v>3761820</v>
      </c>
      <c r="J21" s="98">
        <v>3742478</v>
      </c>
      <c r="K21" s="98">
        <v>1948954</v>
      </c>
      <c r="L21" s="98">
        <v>1793524</v>
      </c>
    </row>
    <row r="22" spans="1:12">
      <c r="A22" s="103"/>
      <c r="B22" s="102" t="s">
        <v>306</v>
      </c>
      <c r="C22" s="87"/>
      <c r="D22" s="87"/>
      <c r="E22" s="100"/>
      <c r="F22" s="99">
        <v>16706827</v>
      </c>
      <c r="G22" s="98">
        <v>7031547</v>
      </c>
      <c r="H22" s="98">
        <v>9675280</v>
      </c>
      <c r="I22" s="98">
        <v>4995833</v>
      </c>
      <c r="J22" s="98">
        <v>4679447</v>
      </c>
      <c r="K22" s="98">
        <v>3259603</v>
      </c>
      <c r="L22" s="98">
        <v>1419844</v>
      </c>
    </row>
    <row r="23" spans="1:12">
      <c r="A23" s="103"/>
      <c r="B23" s="102" t="s">
        <v>305</v>
      </c>
      <c r="C23" s="87"/>
      <c r="D23" s="87"/>
      <c r="E23" s="100"/>
      <c r="F23" s="125">
        <v>16131968</v>
      </c>
      <c r="G23" s="98">
        <v>10566385</v>
      </c>
      <c r="H23" s="98">
        <v>5565583</v>
      </c>
      <c r="I23" s="98">
        <v>2435662</v>
      </c>
      <c r="J23" s="98">
        <v>3129921</v>
      </c>
      <c r="K23" s="98">
        <v>2741082</v>
      </c>
      <c r="L23" s="98">
        <v>388839</v>
      </c>
    </row>
    <row r="24" spans="1:12">
      <c r="A24" s="103"/>
      <c r="B24" s="102" t="s">
        <v>279</v>
      </c>
      <c r="C24" s="87"/>
      <c r="D24" s="87"/>
      <c r="E24" s="100"/>
      <c r="F24" s="125">
        <v>30152</v>
      </c>
      <c r="G24" s="98">
        <v>15628</v>
      </c>
      <c r="H24" s="98">
        <v>14524</v>
      </c>
      <c r="I24" s="98">
        <v>4949</v>
      </c>
      <c r="J24" s="98">
        <v>9575</v>
      </c>
      <c r="K24" s="98">
        <v>5112</v>
      </c>
      <c r="L24" s="98">
        <v>4463</v>
      </c>
    </row>
    <row r="25" spans="1:12">
      <c r="A25" s="103"/>
      <c r="B25" s="102"/>
      <c r="C25" s="101"/>
      <c r="D25" s="101"/>
      <c r="E25" s="100"/>
      <c r="F25" s="99"/>
      <c r="G25" s="98"/>
      <c r="H25" s="98"/>
      <c r="I25" s="98"/>
      <c r="J25" s="98"/>
      <c r="K25" s="98"/>
      <c r="L25" s="98"/>
    </row>
    <row r="26" spans="1:12">
      <c r="A26" s="124"/>
      <c r="B26" s="109">
        <v>1.3</v>
      </c>
      <c r="C26" s="108" t="s">
        <v>304</v>
      </c>
      <c r="D26" s="108"/>
      <c r="E26" s="107"/>
      <c r="F26" s="106">
        <v>49305839</v>
      </c>
      <c r="G26" s="105">
        <v>20616378</v>
      </c>
      <c r="H26" s="105">
        <v>28689461</v>
      </c>
      <c r="I26" s="105">
        <v>13736968</v>
      </c>
      <c r="J26" s="105">
        <v>14952493</v>
      </c>
      <c r="K26" s="105">
        <v>8934920</v>
      </c>
      <c r="L26" s="105">
        <v>6017573</v>
      </c>
    </row>
    <row r="27" spans="1:12">
      <c r="A27" s="103"/>
      <c r="B27" s="102" t="s">
        <v>303</v>
      </c>
      <c r="C27" s="87"/>
      <c r="D27" s="87"/>
      <c r="E27" s="100"/>
      <c r="F27" s="99">
        <v>33486422</v>
      </c>
      <c r="G27" s="98">
        <v>18084339</v>
      </c>
      <c r="H27" s="98">
        <v>15402083</v>
      </c>
      <c r="I27" s="98">
        <v>4533750</v>
      </c>
      <c r="J27" s="98">
        <v>10868333</v>
      </c>
      <c r="K27" s="98">
        <v>8347712</v>
      </c>
      <c r="L27" s="98">
        <v>2520621</v>
      </c>
    </row>
    <row r="28" spans="1:12">
      <c r="A28" s="103"/>
      <c r="B28" s="102"/>
      <c r="C28" s="87" t="s">
        <v>302</v>
      </c>
      <c r="D28" s="87"/>
      <c r="E28" s="100"/>
      <c r="F28" s="99">
        <v>31324741</v>
      </c>
      <c r="G28" s="98">
        <v>17821974</v>
      </c>
      <c r="H28" s="98">
        <v>13502767</v>
      </c>
      <c r="I28" s="98">
        <v>3726378</v>
      </c>
      <c r="J28" s="98">
        <v>9776389</v>
      </c>
      <c r="K28" s="98">
        <v>7465295</v>
      </c>
      <c r="L28" s="98">
        <v>2311094</v>
      </c>
    </row>
    <row r="29" spans="1:12">
      <c r="A29" s="103"/>
      <c r="B29" s="102"/>
      <c r="C29" s="87" t="s">
        <v>301</v>
      </c>
      <c r="D29" s="87"/>
      <c r="E29" s="100"/>
      <c r="F29" s="99">
        <v>2161681</v>
      </c>
      <c r="G29" s="98">
        <v>262365</v>
      </c>
      <c r="H29" s="98">
        <v>1899316</v>
      </c>
      <c r="I29" s="98">
        <v>807372</v>
      </c>
      <c r="J29" s="98">
        <v>1091944</v>
      </c>
      <c r="K29" s="98">
        <v>882417</v>
      </c>
      <c r="L29" s="98">
        <v>209527</v>
      </c>
    </row>
    <row r="30" spans="1:12">
      <c r="A30" s="103"/>
      <c r="B30" s="102" t="s">
        <v>270</v>
      </c>
      <c r="C30" s="87"/>
      <c r="D30" s="87"/>
      <c r="E30" s="126"/>
      <c r="F30" s="125">
        <v>2033615</v>
      </c>
      <c r="G30" s="98">
        <v>1220341</v>
      </c>
      <c r="H30" s="98">
        <v>813274</v>
      </c>
      <c r="I30" s="98">
        <v>813274</v>
      </c>
      <c r="J30" s="98">
        <v>0</v>
      </c>
      <c r="K30" s="98">
        <v>0</v>
      </c>
      <c r="L30" s="98">
        <v>0</v>
      </c>
    </row>
    <row r="31" spans="1:12">
      <c r="A31" s="103"/>
      <c r="B31" s="102" t="s">
        <v>300</v>
      </c>
      <c r="C31" s="87"/>
      <c r="D31" s="87"/>
      <c r="E31" s="126"/>
      <c r="F31" s="125">
        <v>11017510</v>
      </c>
      <c r="G31" s="98">
        <v>1311698</v>
      </c>
      <c r="H31" s="98">
        <v>9705812</v>
      </c>
      <c r="I31" s="98">
        <v>7225152</v>
      </c>
      <c r="J31" s="98">
        <v>2480660</v>
      </c>
      <c r="K31" s="98">
        <v>0</v>
      </c>
      <c r="L31" s="98">
        <v>2480660</v>
      </c>
    </row>
    <row r="32" spans="1:12">
      <c r="A32" s="103"/>
      <c r="B32" s="102" t="s">
        <v>299</v>
      </c>
      <c r="C32" s="87"/>
      <c r="D32" s="87"/>
      <c r="E32" s="126"/>
      <c r="F32" s="125">
        <v>2768292</v>
      </c>
      <c r="G32" s="98">
        <v>0</v>
      </c>
      <c r="H32" s="98">
        <v>2768292</v>
      </c>
      <c r="I32" s="98">
        <v>1164792</v>
      </c>
      <c r="J32" s="98">
        <v>1603500</v>
      </c>
      <c r="K32" s="98">
        <v>587208</v>
      </c>
      <c r="L32" s="98">
        <v>1016292</v>
      </c>
    </row>
    <row r="33" spans="1:16">
      <c r="A33" s="103"/>
      <c r="B33" s="102" t="s">
        <v>279</v>
      </c>
      <c r="C33" s="87"/>
      <c r="D33" s="87"/>
      <c r="E33" s="126"/>
      <c r="F33" s="125">
        <v>0</v>
      </c>
      <c r="G33" s="98">
        <v>0</v>
      </c>
      <c r="H33" s="98">
        <v>0</v>
      </c>
      <c r="I33" s="98">
        <v>0</v>
      </c>
      <c r="J33" s="98">
        <v>0</v>
      </c>
      <c r="K33" s="98">
        <v>0</v>
      </c>
      <c r="L33" s="98">
        <v>0</v>
      </c>
    </row>
    <row r="34" spans="1:16">
      <c r="A34" s="103"/>
      <c r="B34" s="102"/>
      <c r="C34" s="101"/>
      <c r="D34" s="101"/>
      <c r="E34" s="100"/>
      <c r="F34" s="99"/>
      <c r="G34" s="98"/>
      <c r="H34" s="98"/>
      <c r="I34" s="98"/>
      <c r="J34" s="98"/>
      <c r="K34" s="98"/>
      <c r="L34" s="98"/>
    </row>
    <row r="35" spans="1:16">
      <c r="A35" s="124"/>
      <c r="B35" s="109">
        <v>1.4</v>
      </c>
      <c r="C35" s="108" t="s">
        <v>70</v>
      </c>
      <c r="D35" s="108"/>
      <c r="E35" s="107"/>
      <c r="F35" s="106">
        <v>49305839</v>
      </c>
      <c r="G35" s="105">
        <v>20616378</v>
      </c>
      <c r="H35" s="105">
        <v>28689461</v>
      </c>
      <c r="I35" s="105">
        <v>13736968</v>
      </c>
      <c r="J35" s="105">
        <v>14952493</v>
      </c>
      <c r="K35" s="105">
        <v>8934920</v>
      </c>
      <c r="L35" s="105">
        <v>6017573</v>
      </c>
      <c r="M35" s="20"/>
      <c r="N35" s="33"/>
      <c r="O35" s="123"/>
    </row>
    <row r="36" spans="1:16">
      <c r="A36" s="103"/>
      <c r="B36" s="102" t="s">
        <v>298</v>
      </c>
      <c r="C36" s="101"/>
      <c r="D36" s="101"/>
      <c r="E36" s="100"/>
      <c r="F36" s="99">
        <v>6660593</v>
      </c>
      <c r="G36" s="98">
        <v>643020</v>
      </c>
      <c r="H36" s="98">
        <v>6017573</v>
      </c>
      <c r="I36" s="98">
        <v>0</v>
      </c>
      <c r="J36" s="98">
        <v>6017573</v>
      </c>
      <c r="K36" s="98">
        <v>0</v>
      </c>
      <c r="L36" s="98">
        <v>6017573</v>
      </c>
      <c r="M36" s="34"/>
      <c r="N36" s="19"/>
      <c r="O36" s="122"/>
    </row>
    <row r="37" spans="1:16">
      <c r="A37" s="103"/>
      <c r="B37" s="102"/>
      <c r="C37" s="101" t="s">
        <v>297</v>
      </c>
      <c r="D37" s="101"/>
      <c r="E37" s="120"/>
      <c r="F37" s="119">
        <v>6660593</v>
      </c>
      <c r="G37" s="98">
        <v>643020</v>
      </c>
      <c r="H37" s="98">
        <v>6017573</v>
      </c>
      <c r="I37" s="98">
        <v>0</v>
      </c>
      <c r="J37" s="98">
        <v>6017573</v>
      </c>
      <c r="K37" s="98">
        <v>0</v>
      </c>
      <c r="L37" s="98">
        <v>6017573</v>
      </c>
      <c r="M37" s="15"/>
      <c r="N37" s="9"/>
      <c r="O37" s="121"/>
    </row>
    <row r="38" spans="1:16">
      <c r="A38" s="103"/>
      <c r="B38" s="102" t="s">
        <v>296</v>
      </c>
      <c r="C38" s="101"/>
      <c r="D38" s="101"/>
      <c r="E38" s="120"/>
      <c r="F38" s="119">
        <v>11957708</v>
      </c>
      <c r="G38" s="98">
        <v>5918089</v>
      </c>
      <c r="H38" s="98">
        <v>6039619</v>
      </c>
      <c r="I38" s="98">
        <v>4683324</v>
      </c>
      <c r="J38" s="98">
        <v>1356295</v>
      </c>
      <c r="K38" s="98">
        <v>1356295</v>
      </c>
      <c r="L38" s="98">
        <v>0</v>
      </c>
      <c r="M38" s="15"/>
      <c r="N38" s="9"/>
      <c r="O38" s="9"/>
    </row>
    <row r="39" spans="1:16">
      <c r="A39" s="103"/>
      <c r="B39" s="102"/>
      <c r="C39" s="101" t="s">
        <v>295</v>
      </c>
      <c r="D39" s="101"/>
      <c r="E39" s="120"/>
      <c r="F39" s="119">
        <v>441366</v>
      </c>
      <c r="G39" s="98">
        <v>382388</v>
      </c>
      <c r="H39" s="98">
        <v>58978</v>
      </c>
      <c r="I39" s="98">
        <v>18914</v>
      </c>
      <c r="J39" s="98">
        <v>40064</v>
      </c>
      <c r="K39" s="98">
        <v>40064</v>
      </c>
      <c r="L39" s="98">
        <v>0</v>
      </c>
      <c r="M39" s="15"/>
      <c r="N39" s="9"/>
      <c r="O39" s="9"/>
    </row>
    <row r="40" spans="1:16">
      <c r="A40" s="103"/>
      <c r="B40" s="102"/>
      <c r="C40" s="101" t="s">
        <v>16</v>
      </c>
      <c r="D40" s="101"/>
      <c r="E40" s="120"/>
      <c r="F40" s="119">
        <v>7894959</v>
      </c>
      <c r="G40" s="98">
        <v>4744406</v>
      </c>
      <c r="H40" s="98">
        <v>3150553</v>
      </c>
      <c r="I40" s="98">
        <v>2091055</v>
      </c>
      <c r="J40" s="98">
        <v>1059498</v>
      </c>
      <c r="K40" s="98">
        <v>1059498</v>
      </c>
      <c r="L40" s="98">
        <v>0</v>
      </c>
      <c r="M40" s="15"/>
      <c r="N40" s="9"/>
      <c r="O40" s="9"/>
    </row>
    <row r="41" spans="1:16">
      <c r="A41" s="103"/>
      <c r="B41" s="102"/>
      <c r="C41" s="101" t="s">
        <v>15</v>
      </c>
      <c r="D41" s="101"/>
      <c r="E41" s="120"/>
      <c r="F41" s="119">
        <v>3621383</v>
      </c>
      <c r="G41" s="98">
        <v>791295</v>
      </c>
      <c r="H41" s="98">
        <v>2830088</v>
      </c>
      <c r="I41" s="98">
        <v>2573355</v>
      </c>
      <c r="J41" s="98">
        <v>256733</v>
      </c>
      <c r="K41" s="98">
        <v>256733</v>
      </c>
      <c r="L41" s="98">
        <v>0</v>
      </c>
      <c r="M41" s="15"/>
      <c r="N41" s="9"/>
      <c r="O41" s="9"/>
    </row>
    <row r="42" spans="1:16">
      <c r="A42" s="103"/>
      <c r="B42" s="102" t="s">
        <v>294</v>
      </c>
      <c r="C42" s="101"/>
      <c r="D42" s="101"/>
      <c r="E42" s="120"/>
      <c r="F42" s="99">
        <v>30420552</v>
      </c>
      <c r="G42" s="98">
        <v>14031716</v>
      </c>
      <c r="H42" s="98">
        <v>16388836</v>
      </c>
      <c r="I42" s="98">
        <v>9053188</v>
      </c>
      <c r="J42" s="98">
        <v>7335648</v>
      </c>
      <c r="K42" s="98">
        <v>7335648</v>
      </c>
      <c r="L42" s="98">
        <v>0</v>
      </c>
      <c r="M42" s="15"/>
      <c r="N42" s="9"/>
      <c r="O42" s="9"/>
    </row>
    <row r="43" spans="1:16">
      <c r="A43" s="103"/>
      <c r="B43" s="102"/>
      <c r="C43" s="101" t="s">
        <v>17</v>
      </c>
      <c r="D43" s="101"/>
      <c r="E43" s="120"/>
      <c r="F43" s="119">
        <v>9605567</v>
      </c>
      <c r="G43" s="98">
        <v>3615905</v>
      </c>
      <c r="H43" s="98">
        <v>5989662</v>
      </c>
      <c r="I43" s="98">
        <v>4295229</v>
      </c>
      <c r="J43" s="98">
        <v>1694433</v>
      </c>
      <c r="K43" s="98">
        <v>1694433</v>
      </c>
      <c r="L43" s="98">
        <v>0</v>
      </c>
      <c r="M43" s="15"/>
      <c r="N43" s="9"/>
      <c r="O43" s="9"/>
    </row>
    <row r="44" spans="1:16">
      <c r="A44" s="103"/>
      <c r="B44" s="102"/>
      <c r="C44" s="87" t="s">
        <v>293</v>
      </c>
      <c r="D44" s="87"/>
      <c r="E44" s="116"/>
      <c r="F44" s="115">
        <v>3511898</v>
      </c>
      <c r="G44" s="98">
        <v>999967</v>
      </c>
      <c r="H44" s="98">
        <v>2511931</v>
      </c>
      <c r="I44" s="98">
        <v>1754622</v>
      </c>
      <c r="J44" s="98">
        <v>757309</v>
      </c>
      <c r="K44" s="98">
        <v>757309</v>
      </c>
      <c r="L44" s="98">
        <v>0</v>
      </c>
      <c r="M44" s="147"/>
      <c r="N44" s="147"/>
      <c r="O44" s="147"/>
    </row>
    <row r="45" spans="1:16">
      <c r="A45" s="103"/>
      <c r="B45" s="102"/>
      <c r="C45" s="87" t="s">
        <v>292</v>
      </c>
      <c r="D45" s="87"/>
      <c r="E45" s="116"/>
      <c r="F45" s="115">
        <v>2446481</v>
      </c>
      <c r="G45" s="98">
        <v>1079033</v>
      </c>
      <c r="H45" s="98">
        <v>1367448</v>
      </c>
      <c r="I45" s="98">
        <v>968651</v>
      </c>
      <c r="J45" s="98">
        <v>398797</v>
      </c>
      <c r="K45" s="98">
        <v>398797</v>
      </c>
      <c r="L45" s="98">
        <v>0</v>
      </c>
      <c r="N45" s="118"/>
      <c r="O45" s="117"/>
    </row>
    <row r="46" spans="1:16" ht="15" thickBot="1">
      <c r="A46" s="103"/>
      <c r="B46" s="102"/>
      <c r="C46" s="101" t="s">
        <v>291</v>
      </c>
      <c r="D46" s="101"/>
      <c r="E46" s="116"/>
      <c r="F46" s="115">
        <v>3410522</v>
      </c>
      <c r="G46" s="98">
        <v>2246594</v>
      </c>
      <c r="H46" s="98">
        <v>1163928</v>
      </c>
      <c r="I46" s="98">
        <v>525155</v>
      </c>
      <c r="J46" s="98">
        <v>638773</v>
      </c>
      <c r="K46" s="98">
        <v>638773</v>
      </c>
      <c r="L46" s="98">
        <v>0</v>
      </c>
    </row>
    <row r="47" spans="1:16" ht="15" thickBot="1">
      <c r="A47" s="103"/>
      <c r="B47" s="102"/>
      <c r="C47" s="101" t="s">
        <v>290</v>
      </c>
      <c r="D47" s="101"/>
      <c r="E47" s="116"/>
      <c r="F47" s="115">
        <v>3981389</v>
      </c>
      <c r="G47" s="98">
        <v>3232813</v>
      </c>
      <c r="H47" s="98">
        <v>748576</v>
      </c>
      <c r="I47" s="98">
        <v>112723</v>
      </c>
      <c r="J47" s="98">
        <v>635853</v>
      </c>
      <c r="K47" s="98">
        <v>635853</v>
      </c>
      <c r="L47" s="98">
        <v>0</v>
      </c>
      <c r="N47" s="148"/>
      <c r="O47" s="149"/>
      <c r="P47" s="149"/>
    </row>
    <row r="48" spans="1:16" ht="16" thickTop="1" thickBot="1">
      <c r="A48" s="103"/>
      <c r="B48" s="102"/>
      <c r="C48" s="87" t="s">
        <v>289</v>
      </c>
      <c r="D48" s="87"/>
      <c r="E48" s="86"/>
      <c r="F48" s="104">
        <v>5135060</v>
      </c>
      <c r="G48" s="98">
        <v>927510</v>
      </c>
      <c r="H48" s="98">
        <v>4207550</v>
      </c>
      <c r="I48" s="98">
        <v>1396808</v>
      </c>
      <c r="J48" s="98">
        <v>2810742</v>
      </c>
      <c r="K48" s="98">
        <v>2810742</v>
      </c>
      <c r="L48" s="98">
        <v>0</v>
      </c>
      <c r="N48" s="150"/>
      <c r="O48" s="151"/>
      <c r="P48" s="151"/>
    </row>
    <row r="49" spans="1:16" ht="15" thickBot="1">
      <c r="A49" s="89"/>
      <c r="B49" s="88"/>
      <c r="C49" s="87" t="s">
        <v>288</v>
      </c>
      <c r="D49" s="87"/>
      <c r="E49" s="114"/>
      <c r="F49" s="113">
        <v>2329635</v>
      </c>
      <c r="G49" s="98">
        <v>1929894</v>
      </c>
      <c r="H49" s="98">
        <v>399741</v>
      </c>
      <c r="I49" s="98">
        <v>0</v>
      </c>
      <c r="J49" s="98">
        <v>399741</v>
      </c>
      <c r="K49" s="98">
        <v>399741</v>
      </c>
      <c r="L49" s="98">
        <v>0</v>
      </c>
      <c r="N49" s="152"/>
      <c r="O49" s="151"/>
      <c r="P49" s="151"/>
    </row>
    <row r="50" spans="1:16" ht="15" thickBot="1">
      <c r="A50" s="89"/>
      <c r="B50" s="88" t="s">
        <v>279</v>
      </c>
      <c r="C50" s="87"/>
      <c r="D50" s="87"/>
      <c r="E50" s="114"/>
      <c r="F50" s="113">
        <v>266986</v>
      </c>
      <c r="G50" s="98">
        <v>23553</v>
      </c>
      <c r="H50" s="98">
        <v>243433</v>
      </c>
      <c r="I50" s="98">
        <v>456</v>
      </c>
      <c r="J50" s="98">
        <v>242977</v>
      </c>
      <c r="K50" s="98">
        <v>242977</v>
      </c>
      <c r="L50" s="98">
        <v>0</v>
      </c>
      <c r="N50" s="152"/>
      <c r="O50" s="151"/>
      <c r="P50" s="151"/>
    </row>
    <row r="51" spans="1:16" ht="15" thickBot="1">
      <c r="A51" s="103"/>
      <c r="B51" s="102"/>
      <c r="C51" s="101"/>
      <c r="D51" s="101"/>
      <c r="E51" s="100"/>
      <c r="F51" s="99"/>
      <c r="G51" s="98"/>
      <c r="H51" s="98"/>
      <c r="I51" s="98"/>
      <c r="J51" s="98"/>
      <c r="K51" s="98"/>
      <c r="L51" s="98"/>
      <c r="N51" s="152"/>
      <c r="O51" s="151"/>
      <c r="P51" s="151"/>
    </row>
    <row r="52" spans="1:16" ht="15" thickBot="1">
      <c r="A52" s="110"/>
      <c r="B52" s="109">
        <v>1.5</v>
      </c>
      <c r="C52" s="108" t="s">
        <v>287</v>
      </c>
      <c r="D52" s="108"/>
      <c r="E52" s="107"/>
      <c r="F52" s="106">
        <v>49305839</v>
      </c>
      <c r="G52" s="105">
        <v>20616378</v>
      </c>
      <c r="H52" s="105">
        <v>28689461</v>
      </c>
      <c r="I52" s="105">
        <v>13736968</v>
      </c>
      <c r="J52" s="105">
        <v>14952493</v>
      </c>
      <c r="K52" s="105">
        <v>8934920</v>
      </c>
      <c r="L52" s="105">
        <v>6017573</v>
      </c>
      <c r="N52" s="153"/>
      <c r="O52" s="151"/>
      <c r="P52" s="151"/>
    </row>
    <row r="53" spans="1:16" ht="15" thickBot="1">
      <c r="A53" s="89"/>
      <c r="B53" s="112" t="s">
        <v>6</v>
      </c>
      <c r="C53" s="87"/>
      <c r="D53" s="87"/>
      <c r="E53" s="86"/>
      <c r="F53" s="104">
        <v>6462570</v>
      </c>
      <c r="G53" s="98">
        <v>420229</v>
      </c>
      <c r="H53" s="98">
        <v>6042341</v>
      </c>
      <c r="I53" s="98">
        <v>3068846</v>
      </c>
      <c r="J53" s="98">
        <v>2973495</v>
      </c>
      <c r="K53" s="98">
        <v>1318568</v>
      </c>
      <c r="L53" s="98">
        <v>1654927</v>
      </c>
      <c r="N53" s="152"/>
      <c r="O53" s="152"/>
      <c r="P53" s="152"/>
    </row>
    <row r="54" spans="1:16" ht="15" thickBot="1">
      <c r="A54" s="89"/>
      <c r="B54" s="88" t="s">
        <v>7</v>
      </c>
      <c r="C54" s="87"/>
      <c r="D54" s="87"/>
      <c r="E54" s="86"/>
      <c r="F54" s="104">
        <v>11993650</v>
      </c>
      <c r="G54" s="111">
        <v>3811510</v>
      </c>
      <c r="H54" s="111">
        <v>8182140</v>
      </c>
      <c r="I54" s="111">
        <v>3677001</v>
      </c>
      <c r="J54" s="111">
        <v>4505139</v>
      </c>
      <c r="K54" s="111">
        <v>3020800</v>
      </c>
      <c r="L54" s="111">
        <v>1484339</v>
      </c>
      <c r="N54" s="154"/>
      <c r="O54" s="151"/>
      <c r="P54" s="151"/>
    </row>
    <row r="55" spans="1:16">
      <c r="A55" s="89"/>
      <c r="B55" s="88" t="s">
        <v>8</v>
      </c>
      <c r="C55" s="87"/>
      <c r="D55" s="87"/>
      <c r="E55" s="86"/>
      <c r="F55" s="104">
        <v>11099611</v>
      </c>
      <c r="G55" s="111">
        <v>5616975</v>
      </c>
      <c r="H55" s="111">
        <v>5482636</v>
      </c>
      <c r="I55" s="111">
        <v>2899644</v>
      </c>
      <c r="J55" s="111">
        <v>2582992</v>
      </c>
      <c r="K55" s="111">
        <v>2053308</v>
      </c>
      <c r="L55" s="111">
        <v>529684</v>
      </c>
    </row>
    <row r="56" spans="1:16">
      <c r="A56" s="89"/>
      <c r="B56" s="88" t="s">
        <v>9</v>
      </c>
      <c r="C56" s="87"/>
      <c r="D56" s="87"/>
      <c r="E56" s="86"/>
      <c r="F56" s="104">
        <v>7351432</v>
      </c>
      <c r="G56" s="111">
        <v>4839786</v>
      </c>
      <c r="H56" s="111">
        <v>2511646</v>
      </c>
      <c r="I56" s="111">
        <v>1557648</v>
      </c>
      <c r="J56" s="111">
        <v>953998</v>
      </c>
      <c r="K56" s="111">
        <v>831459</v>
      </c>
      <c r="L56" s="111">
        <v>122539</v>
      </c>
    </row>
    <row r="57" spans="1:16">
      <c r="A57" s="89"/>
      <c r="B57" s="88" t="s">
        <v>10</v>
      </c>
      <c r="C57" s="87"/>
      <c r="D57" s="87"/>
      <c r="E57" s="86"/>
      <c r="F57" s="104">
        <v>3391526</v>
      </c>
      <c r="G57" s="111">
        <v>2774656</v>
      </c>
      <c r="H57" s="111">
        <v>616870</v>
      </c>
      <c r="I57" s="111">
        <v>348087</v>
      </c>
      <c r="J57" s="111">
        <v>268783</v>
      </c>
      <c r="K57" s="111">
        <v>227224</v>
      </c>
      <c r="L57" s="111">
        <v>41559</v>
      </c>
    </row>
    <row r="58" spans="1:16">
      <c r="A58" s="89"/>
      <c r="B58" s="88" t="s">
        <v>286</v>
      </c>
      <c r="C58" s="87"/>
      <c r="D58" s="87"/>
      <c r="E58" s="86"/>
      <c r="F58" s="104">
        <v>3635001</v>
      </c>
      <c r="G58" s="111">
        <v>12686</v>
      </c>
      <c r="H58" s="111">
        <v>3622315</v>
      </c>
      <c r="I58" s="111">
        <v>1164792</v>
      </c>
      <c r="J58" s="111">
        <v>2457523</v>
      </c>
      <c r="K58" s="111">
        <v>587208</v>
      </c>
      <c r="L58" s="111">
        <v>1870315</v>
      </c>
    </row>
    <row r="59" spans="1:16">
      <c r="A59" s="89"/>
      <c r="B59" s="88" t="s">
        <v>279</v>
      </c>
      <c r="C59" s="87"/>
      <c r="D59" s="87"/>
      <c r="E59" s="86"/>
      <c r="F59" s="104">
        <v>5372049</v>
      </c>
      <c r="G59" s="111">
        <v>3140536</v>
      </c>
      <c r="H59" s="111">
        <v>2231513</v>
      </c>
      <c r="I59" s="111">
        <v>1020950</v>
      </c>
      <c r="J59" s="111">
        <v>1210563</v>
      </c>
      <c r="K59" s="111">
        <v>896353</v>
      </c>
      <c r="L59" s="111">
        <v>314210</v>
      </c>
    </row>
    <row r="60" spans="1:16">
      <c r="A60" s="103"/>
      <c r="B60" s="102"/>
      <c r="C60" s="101"/>
      <c r="D60" s="101"/>
      <c r="E60" s="100"/>
      <c r="F60" s="99"/>
      <c r="G60" s="98"/>
      <c r="H60" s="98"/>
      <c r="I60" s="98"/>
      <c r="J60" s="98"/>
      <c r="K60" s="98"/>
      <c r="L60" s="98"/>
    </row>
    <row r="61" spans="1:16">
      <c r="A61" s="110"/>
      <c r="B61" s="109">
        <v>1.6</v>
      </c>
      <c r="C61" s="108" t="s">
        <v>285</v>
      </c>
      <c r="D61" s="108"/>
      <c r="E61" s="107"/>
      <c r="F61" s="106">
        <v>49305839</v>
      </c>
      <c r="G61" s="105">
        <v>20616378</v>
      </c>
      <c r="H61" s="105">
        <v>28689461</v>
      </c>
      <c r="I61" s="105">
        <v>13736968</v>
      </c>
      <c r="J61" s="105">
        <v>14952493</v>
      </c>
      <c r="K61" s="105">
        <v>8934920</v>
      </c>
      <c r="L61" s="105">
        <v>6017573</v>
      </c>
    </row>
    <row r="62" spans="1:16">
      <c r="A62" s="89"/>
      <c r="B62" s="88" t="s">
        <v>284</v>
      </c>
      <c r="C62" s="87"/>
      <c r="D62" s="87"/>
      <c r="E62" s="86"/>
      <c r="F62" s="104">
        <v>1396710</v>
      </c>
      <c r="G62" s="98">
        <v>803195</v>
      </c>
      <c r="H62" s="98">
        <v>593515</v>
      </c>
      <c r="I62" s="98">
        <v>319362</v>
      </c>
      <c r="J62" s="98">
        <v>274153</v>
      </c>
      <c r="K62" s="98">
        <v>176396</v>
      </c>
      <c r="L62" s="98">
        <v>97757</v>
      </c>
    </row>
    <row r="63" spans="1:16">
      <c r="A63" s="89"/>
      <c r="B63" s="88" t="s">
        <v>283</v>
      </c>
      <c r="C63" s="87"/>
      <c r="D63" s="87"/>
      <c r="E63" s="86"/>
      <c r="F63" s="104">
        <v>3277538</v>
      </c>
      <c r="G63" s="98">
        <v>147452</v>
      </c>
      <c r="H63" s="98">
        <v>3130086</v>
      </c>
      <c r="I63" s="98">
        <v>1891719</v>
      </c>
      <c r="J63" s="98">
        <v>1238367</v>
      </c>
      <c r="K63" s="98">
        <v>708333</v>
      </c>
      <c r="L63" s="98">
        <v>530034</v>
      </c>
    </row>
    <row r="64" spans="1:16">
      <c r="A64" s="89"/>
      <c r="B64" s="88" t="s">
        <v>282</v>
      </c>
      <c r="C64" s="87"/>
      <c r="D64" s="87"/>
      <c r="E64" s="86"/>
      <c r="F64" s="104">
        <v>8960367</v>
      </c>
      <c r="G64" s="98">
        <v>2178612</v>
      </c>
      <c r="H64" s="98">
        <v>6781755</v>
      </c>
      <c r="I64" s="98">
        <v>3168910</v>
      </c>
      <c r="J64" s="98">
        <v>3612845</v>
      </c>
      <c r="K64" s="98">
        <v>1966919</v>
      </c>
      <c r="L64" s="98">
        <v>1645926</v>
      </c>
    </row>
    <row r="65" spans="1:12">
      <c r="A65" s="89"/>
      <c r="B65" s="88" t="s">
        <v>281</v>
      </c>
      <c r="C65" s="87"/>
      <c r="D65" s="87"/>
      <c r="E65" s="86"/>
      <c r="F65" s="104">
        <v>21960747</v>
      </c>
      <c r="G65" s="98">
        <v>11625687</v>
      </c>
      <c r="H65" s="98">
        <v>10335060</v>
      </c>
      <c r="I65" s="98">
        <v>4009133</v>
      </c>
      <c r="J65" s="98">
        <v>6325927</v>
      </c>
      <c r="K65" s="98">
        <v>3535266</v>
      </c>
      <c r="L65" s="98">
        <v>2790661</v>
      </c>
    </row>
    <row r="66" spans="1:12">
      <c r="A66" s="89"/>
      <c r="B66" s="88" t="s">
        <v>280</v>
      </c>
      <c r="C66" s="87"/>
      <c r="D66" s="87"/>
      <c r="E66" s="86"/>
      <c r="F66" s="104">
        <v>13447997</v>
      </c>
      <c r="G66" s="98">
        <v>5780054</v>
      </c>
      <c r="H66" s="98">
        <v>7667943</v>
      </c>
      <c r="I66" s="98">
        <v>4304261</v>
      </c>
      <c r="J66" s="98">
        <v>3363682</v>
      </c>
      <c r="K66" s="98">
        <v>2419481</v>
      </c>
      <c r="L66" s="98">
        <v>944201</v>
      </c>
    </row>
    <row r="67" spans="1:12">
      <c r="A67" s="89"/>
      <c r="B67" s="88" t="s">
        <v>279</v>
      </c>
      <c r="C67" s="87"/>
      <c r="D67" s="87"/>
      <c r="E67" s="86"/>
      <c r="F67" s="104">
        <v>262480</v>
      </c>
      <c r="G67" s="98">
        <v>81378</v>
      </c>
      <c r="H67" s="98">
        <v>181102</v>
      </c>
      <c r="I67" s="98">
        <v>43583</v>
      </c>
      <c r="J67" s="98">
        <v>137519</v>
      </c>
      <c r="K67" s="98">
        <v>128525</v>
      </c>
      <c r="L67" s="98">
        <v>8994</v>
      </c>
    </row>
    <row r="68" spans="1:12">
      <c r="A68" s="103"/>
      <c r="B68" s="102"/>
      <c r="C68" s="101"/>
      <c r="D68" s="101"/>
      <c r="E68" s="100"/>
      <c r="F68" s="99"/>
      <c r="G68" s="98"/>
      <c r="H68" s="98"/>
      <c r="I68" s="98"/>
      <c r="J68" s="98"/>
      <c r="K68" s="98"/>
      <c r="L68" s="98"/>
    </row>
    <row r="69" spans="1:12">
      <c r="A69" s="97" t="s">
        <v>278</v>
      </c>
      <c r="B69" s="96" t="s">
        <v>277</v>
      </c>
      <c r="C69" s="95"/>
      <c r="D69" s="95"/>
      <c r="E69" s="94"/>
      <c r="F69" s="94"/>
      <c r="G69" s="93"/>
      <c r="H69" s="93"/>
      <c r="I69" s="93"/>
      <c r="J69" s="93"/>
      <c r="K69" s="93"/>
      <c r="L69" s="93"/>
    </row>
    <row r="70" spans="1:12">
      <c r="A70" s="89"/>
      <c r="B70" s="88" t="s">
        <v>276</v>
      </c>
      <c r="C70" s="67"/>
      <c r="D70" s="87"/>
      <c r="E70" s="86"/>
      <c r="F70" s="86"/>
      <c r="G70" s="92"/>
      <c r="H70" s="92"/>
      <c r="I70" s="92"/>
      <c r="J70" s="92"/>
      <c r="K70" s="92"/>
      <c r="L70" s="92"/>
    </row>
    <row r="71" spans="1:12">
      <c r="A71" s="89"/>
      <c r="B71" s="88"/>
      <c r="C71" s="87" t="s">
        <v>272</v>
      </c>
      <c r="D71" s="87"/>
      <c r="E71" s="86"/>
      <c r="F71" s="85">
        <v>38.770049999999998</v>
      </c>
      <c r="G71" s="83">
        <v>38.508650000000003</v>
      </c>
      <c r="H71" s="83">
        <v>38.957880000000003</v>
      </c>
      <c r="I71" s="83">
        <v>40.391019999999997</v>
      </c>
      <c r="J71" s="83">
        <v>37.640799999999999</v>
      </c>
      <c r="K71" s="83">
        <v>35.342950000000002</v>
      </c>
      <c r="L71" s="83">
        <v>41.05171</v>
      </c>
    </row>
    <row r="72" spans="1:12">
      <c r="A72" s="89"/>
      <c r="B72" s="88"/>
      <c r="C72" s="87" t="s">
        <v>271</v>
      </c>
      <c r="D72" s="87"/>
      <c r="E72" s="86"/>
      <c r="F72" s="85">
        <v>38</v>
      </c>
      <c r="G72" s="83">
        <v>38</v>
      </c>
      <c r="H72" s="83">
        <v>38</v>
      </c>
      <c r="I72" s="83">
        <v>40</v>
      </c>
      <c r="J72" s="83">
        <v>36</v>
      </c>
      <c r="K72" s="83">
        <v>33</v>
      </c>
      <c r="L72" s="83">
        <v>40</v>
      </c>
    </row>
    <row r="73" spans="1:12">
      <c r="A73" s="89"/>
      <c r="B73" s="88" t="s">
        <v>275</v>
      </c>
      <c r="C73" s="87"/>
      <c r="D73" s="87"/>
      <c r="E73" s="86"/>
      <c r="F73" s="85"/>
      <c r="G73" s="83"/>
      <c r="H73" s="83"/>
      <c r="I73" s="83"/>
      <c r="J73" s="83"/>
      <c r="K73" s="83"/>
      <c r="L73" s="83"/>
    </row>
    <row r="74" spans="1:12">
      <c r="A74" s="89"/>
      <c r="B74" s="88"/>
      <c r="C74" s="87" t="s">
        <v>272</v>
      </c>
      <c r="D74" s="87"/>
      <c r="E74" s="86"/>
      <c r="F74" s="85">
        <v>9.5259999999999998</v>
      </c>
      <c r="G74" s="83">
        <v>11.75296</v>
      </c>
      <c r="H74" s="83">
        <v>7.9263399999999997</v>
      </c>
      <c r="I74" s="83">
        <v>7.9489700000000001</v>
      </c>
      <c r="J74" s="83">
        <v>7.9055400000000002</v>
      </c>
      <c r="K74" s="83">
        <v>9.4362700000000004</v>
      </c>
      <c r="L74" s="83">
        <v>5.6334799999999996</v>
      </c>
    </row>
    <row r="75" spans="1:12">
      <c r="A75" s="89"/>
      <c r="B75" s="88"/>
      <c r="C75" s="87" t="s">
        <v>271</v>
      </c>
      <c r="D75" s="87"/>
      <c r="E75" s="86"/>
      <c r="F75" s="85">
        <v>9</v>
      </c>
      <c r="G75" s="83">
        <v>12</v>
      </c>
      <c r="H75" s="83">
        <v>9</v>
      </c>
      <c r="I75" s="83">
        <v>9</v>
      </c>
      <c r="J75" s="83">
        <v>9</v>
      </c>
      <c r="K75" s="83">
        <v>9</v>
      </c>
      <c r="L75" s="83">
        <v>6</v>
      </c>
    </row>
    <row r="76" spans="1:12">
      <c r="A76" s="89"/>
      <c r="B76" s="88" t="s">
        <v>274</v>
      </c>
      <c r="C76" s="87"/>
      <c r="D76" s="87"/>
      <c r="E76" s="86"/>
      <c r="F76" s="85"/>
      <c r="G76" s="83"/>
      <c r="H76" s="83"/>
      <c r="I76" s="83"/>
      <c r="J76" s="83"/>
      <c r="K76" s="83"/>
      <c r="L76" s="83"/>
    </row>
    <row r="77" spans="1:12">
      <c r="A77" s="89"/>
      <c r="B77" s="88"/>
      <c r="C77" s="87" t="s">
        <v>272</v>
      </c>
      <c r="D77" s="87"/>
      <c r="E77" s="86"/>
      <c r="F77" s="85">
        <v>42.509050000000002</v>
      </c>
      <c r="G77" s="83">
        <v>46.567430000000002</v>
      </c>
      <c r="H77" s="83">
        <v>39.640349999999998</v>
      </c>
      <c r="I77" s="83">
        <v>39.61797</v>
      </c>
      <c r="J77" s="83">
        <v>39.66093</v>
      </c>
      <c r="K77" s="83">
        <v>41.288170000000001</v>
      </c>
      <c r="L77" s="83">
        <v>37.2851</v>
      </c>
    </row>
    <row r="78" spans="1:12">
      <c r="A78" s="89"/>
      <c r="B78" s="88"/>
      <c r="C78" s="87" t="s">
        <v>271</v>
      </c>
      <c r="D78" s="87"/>
      <c r="E78" s="86"/>
      <c r="F78" s="85">
        <v>45</v>
      </c>
      <c r="G78" s="83">
        <v>48</v>
      </c>
      <c r="H78" s="83">
        <v>42</v>
      </c>
      <c r="I78" s="83">
        <v>42</v>
      </c>
      <c r="J78" s="83">
        <v>41</v>
      </c>
      <c r="K78" s="83">
        <v>42</v>
      </c>
      <c r="L78" s="83">
        <v>40</v>
      </c>
    </row>
    <row r="79" spans="1:12">
      <c r="A79" s="89"/>
      <c r="B79" s="88" t="s">
        <v>273</v>
      </c>
      <c r="C79" s="87"/>
      <c r="D79" s="87"/>
      <c r="E79" s="86"/>
      <c r="F79" s="85"/>
      <c r="G79" s="83"/>
      <c r="H79" s="83"/>
      <c r="I79" s="83"/>
      <c r="J79" s="83"/>
      <c r="K79" s="83"/>
      <c r="L79" s="83"/>
    </row>
    <row r="80" spans="1:12">
      <c r="A80" s="89"/>
      <c r="B80" s="88"/>
      <c r="C80" s="87" t="s">
        <v>272</v>
      </c>
      <c r="D80" s="87"/>
      <c r="E80" s="86"/>
      <c r="F80" s="85">
        <v>31.330469999999998</v>
      </c>
      <c r="G80" s="83">
        <v>39.228180000000002</v>
      </c>
      <c r="H80" s="83">
        <v>25.789870000000001</v>
      </c>
      <c r="I80" s="83">
        <v>28.81005</v>
      </c>
      <c r="J80" s="83">
        <v>22.78988</v>
      </c>
      <c r="K80" s="83">
        <v>25.83126</v>
      </c>
      <c r="L80" s="83">
        <v>17.11402</v>
      </c>
    </row>
    <row r="81" spans="1:12">
      <c r="A81" s="89"/>
      <c r="B81" s="88"/>
      <c r="C81" s="87" t="s">
        <v>271</v>
      </c>
      <c r="D81" s="87"/>
      <c r="E81" s="86"/>
      <c r="F81" s="85">
        <v>22.22222</v>
      </c>
      <c r="G81" s="84">
        <v>27.77778</v>
      </c>
      <c r="H81" s="83">
        <v>18.75</v>
      </c>
      <c r="I81" s="83">
        <v>20</v>
      </c>
      <c r="J81" s="83">
        <v>17.441859999999998</v>
      </c>
      <c r="K81" s="83">
        <v>20</v>
      </c>
      <c r="L81" s="83">
        <v>14.28571</v>
      </c>
    </row>
    <row r="82" spans="1:12">
      <c r="A82" s="89"/>
      <c r="B82" s="67"/>
      <c r="C82" s="88" t="s">
        <v>270</v>
      </c>
      <c r="D82" s="87"/>
      <c r="E82" s="86"/>
      <c r="F82" s="85"/>
      <c r="G82" s="84"/>
      <c r="H82" s="83"/>
      <c r="I82" s="83"/>
      <c r="J82" s="83"/>
      <c r="K82" s="83"/>
      <c r="L82" s="83"/>
    </row>
    <row r="83" spans="1:12">
      <c r="A83" s="89"/>
      <c r="B83" s="67"/>
      <c r="C83" s="88" t="s">
        <v>266</v>
      </c>
      <c r="D83" s="87"/>
      <c r="E83" s="86"/>
      <c r="F83" s="85">
        <v>54.395710000000001</v>
      </c>
      <c r="G83" s="84">
        <v>62.221939999999996</v>
      </c>
      <c r="H83" s="83">
        <v>45.668979999999998</v>
      </c>
      <c r="I83" s="83">
        <v>45.668979999999998</v>
      </c>
      <c r="J83" s="83">
        <v>0</v>
      </c>
      <c r="K83" s="83">
        <v>0</v>
      </c>
      <c r="L83" s="83">
        <v>0</v>
      </c>
    </row>
    <row r="84" spans="1:12">
      <c r="A84" s="89"/>
      <c r="B84" s="67"/>
      <c r="C84" s="88" t="s">
        <v>265</v>
      </c>
      <c r="D84" s="87"/>
      <c r="E84" s="86"/>
      <c r="F84" s="91">
        <v>33.333329999999997</v>
      </c>
      <c r="G84" s="84">
        <v>37.5</v>
      </c>
      <c r="H84" s="83">
        <v>31.25</v>
      </c>
      <c r="I84" s="83">
        <v>31.25</v>
      </c>
      <c r="J84" s="83">
        <v>0</v>
      </c>
      <c r="K84" s="83">
        <v>0</v>
      </c>
      <c r="L84" s="83">
        <v>0</v>
      </c>
    </row>
    <row r="85" spans="1:12">
      <c r="A85" s="89"/>
      <c r="B85" s="67"/>
      <c r="C85" s="88" t="s">
        <v>269</v>
      </c>
      <c r="D85" s="87"/>
      <c r="E85" s="86"/>
      <c r="F85" s="85"/>
      <c r="G85" s="84"/>
      <c r="H85" s="83"/>
      <c r="I85" s="83"/>
      <c r="J85" s="83"/>
      <c r="K85" s="83"/>
      <c r="L85" s="83"/>
    </row>
    <row r="86" spans="1:12">
      <c r="A86" s="89"/>
      <c r="B86" s="67"/>
      <c r="C86" s="88" t="s">
        <v>266</v>
      </c>
      <c r="D86" s="87"/>
      <c r="E86" s="86"/>
      <c r="F86" s="85">
        <v>29.664159999999999</v>
      </c>
      <c r="G86" s="84">
        <v>40.476520000000001</v>
      </c>
      <c r="H86" s="83">
        <v>28.369779999999999</v>
      </c>
      <c r="I86" s="83">
        <v>31.44942</v>
      </c>
      <c r="J86" s="83">
        <v>13.32072</v>
      </c>
      <c r="K86" s="83">
        <v>0</v>
      </c>
      <c r="L86" s="83">
        <v>13.32072</v>
      </c>
    </row>
    <row r="87" spans="1:12">
      <c r="A87" s="89"/>
      <c r="B87" s="67"/>
      <c r="C87" s="88" t="s">
        <v>265</v>
      </c>
      <c r="D87" s="87"/>
      <c r="E87" s="86"/>
      <c r="F87" s="85">
        <v>19.379840000000002</v>
      </c>
      <c r="G87" s="84">
        <v>25</v>
      </c>
      <c r="H87" s="83">
        <v>18.75</v>
      </c>
      <c r="I87" s="83">
        <v>20.83333</v>
      </c>
      <c r="J87" s="83">
        <v>6.4599500000000001</v>
      </c>
      <c r="K87" s="83">
        <v>0</v>
      </c>
      <c r="L87" s="83">
        <v>6.4599500000000001</v>
      </c>
    </row>
    <row r="88" spans="1:12">
      <c r="A88" s="89"/>
      <c r="B88" s="67"/>
      <c r="C88" s="88" t="s">
        <v>268</v>
      </c>
      <c r="D88" s="87"/>
      <c r="E88" s="86"/>
      <c r="F88" s="85"/>
      <c r="G88" s="84"/>
      <c r="H88" s="83"/>
      <c r="I88" s="83"/>
      <c r="J88" s="83"/>
      <c r="K88" s="83"/>
      <c r="L88" s="83"/>
    </row>
    <row r="89" spans="1:12">
      <c r="A89" s="89"/>
      <c r="B89" s="67"/>
      <c r="C89" s="88" t="s">
        <v>266</v>
      </c>
      <c r="D89" s="87"/>
      <c r="E89" s="86"/>
      <c r="F89" s="85">
        <v>30.856829999999999</v>
      </c>
      <c r="G89" s="84">
        <v>38.024430000000002</v>
      </c>
      <c r="H89" s="83">
        <v>23.034690000000001</v>
      </c>
      <c r="I89" s="83">
        <v>22.112369999999999</v>
      </c>
      <c r="J89" s="83">
        <v>23.400469999999999</v>
      </c>
      <c r="K89" s="83">
        <v>25.17632</v>
      </c>
      <c r="L89" s="83">
        <v>18.572479999999999</v>
      </c>
    </row>
    <row r="90" spans="1:12">
      <c r="A90" s="89"/>
      <c r="B90" s="67"/>
      <c r="C90" s="88" t="s">
        <v>265</v>
      </c>
      <c r="D90" s="87"/>
      <c r="E90" s="86"/>
      <c r="F90" s="85">
        <v>22.394490000000001</v>
      </c>
      <c r="G90" s="84">
        <v>27.77778</v>
      </c>
      <c r="H90" s="83">
        <v>18.75</v>
      </c>
      <c r="I90" s="83">
        <v>18.75</v>
      </c>
      <c r="J90" s="83">
        <v>18.559930000000001</v>
      </c>
      <c r="K90" s="83">
        <v>20</v>
      </c>
      <c r="L90" s="83">
        <v>15</v>
      </c>
    </row>
    <row r="91" spans="1:12">
      <c r="A91" s="89"/>
      <c r="B91" s="67"/>
      <c r="C91" s="803" t="s">
        <v>267</v>
      </c>
      <c r="D91" s="803"/>
      <c r="E91" s="804"/>
      <c r="F91" s="90"/>
      <c r="G91" s="84"/>
      <c r="H91" s="83"/>
      <c r="I91" s="83"/>
      <c r="J91" s="83"/>
      <c r="K91" s="83"/>
      <c r="L91" s="83"/>
    </row>
    <row r="92" spans="1:12">
      <c r="A92" s="89"/>
      <c r="B92" s="67"/>
      <c r="C92" s="88" t="s">
        <v>266</v>
      </c>
      <c r="D92" s="87"/>
      <c r="E92" s="86"/>
      <c r="F92" s="85">
        <v>28.026029999999999</v>
      </c>
      <c r="G92" s="84">
        <v>32.622529999999998</v>
      </c>
      <c r="H92" s="83">
        <v>27.362819999999999</v>
      </c>
      <c r="I92" s="83">
        <v>24.318180000000002</v>
      </c>
      <c r="J92" s="83">
        <v>29.90034</v>
      </c>
      <c r="K92" s="83">
        <v>32.278010000000002</v>
      </c>
      <c r="L92" s="83">
        <v>22.604900000000001</v>
      </c>
    </row>
    <row r="93" spans="1:12">
      <c r="A93" s="89"/>
      <c r="B93" s="67"/>
      <c r="C93" s="88" t="s">
        <v>265</v>
      </c>
      <c r="D93" s="87"/>
      <c r="E93" s="86"/>
      <c r="F93" s="85">
        <v>20</v>
      </c>
      <c r="G93" s="84">
        <v>25</v>
      </c>
      <c r="H93" s="83">
        <v>20</v>
      </c>
      <c r="I93" s="83">
        <v>19.317260000000001</v>
      </c>
      <c r="J93" s="83">
        <v>20.379149999999999</v>
      </c>
      <c r="K93" s="83">
        <v>21.469000000000001</v>
      </c>
      <c r="L93" s="83">
        <v>16.66667</v>
      </c>
    </row>
    <row r="94" spans="1:12" ht="15" thickBot="1">
      <c r="A94" s="82"/>
      <c r="B94" s="81"/>
      <c r="C94" s="81"/>
      <c r="D94" s="81"/>
      <c r="E94" s="80"/>
      <c r="F94" s="80"/>
      <c r="G94" s="79"/>
      <c r="H94" s="79"/>
      <c r="I94" s="79"/>
      <c r="J94" s="79"/>
      <c r="K94" s="79"/>
      <c r="L94" s="79"/>
    </row>
    <row r="95" spans="1:12">
      <c r="A95" s="78" t="s">
        <v>264</v>
      </c>
    </row>
    <row r="96" spans="1:12">
      <c r="A96" s="78"/>
    </row>
    <row r="97" spans="1:12">
      <c r="A97" s="77">
        <v>1</v>
      </c>
      <c r="B97" s="805" t="s">
        <v>263</v>
      </c>
      <c r="C97" s="805"/>
      <c r="D97" s="805"/>
      <c r="E97" s="805"/>
      <c r="F97" s="805"/>
      <c r="G97" s="805"/>
      <c r="H97" s="805"/>
      <c r="I97" s="805"/>
      <c r="J97" s="805"/>
      <c r="K97" s="805"/>
      <c r="L97" s="805"/>
    </row>
    <row r="98" spans="1:12">
      <c r="A98" s="77">
        <v>2</v>
      </c>
      <c r="B98" s="805" t="s">
        <v>262</v>
      </c>
      <c r="C98" s="805"/>
      <c r="D98" s="805"/>
      <c r="E98" s="805"/>
      <c r="F98" s="805"/>
      <c r="G98" s="805"/>
      <c r="H98" s="805"/>
      <c r="I98" s="805"/>
      <c r="J98" s="805"/>
      <c r="K98" s="805"/>
      <c r="L98" s="805"/>
    </row>
    <row r="99" spans="1:12">
      <c r="A99" s="76" t="s">
        <v>261</v>
      </c>
      <c r="B99" s="75"/>
      <c r="C99" s="779" t="s">
        <v>77</v>
      </c>
      <c r="D99" s="779"/>
      <c r="E99" s="779"/>
      <c r="F99" s="779"/>
      <c r="G99" s="779"/>
      <c r="H99" s="779"/>
      <c r="I99" s="779"/>
      <c r="J99" s="779"/>
      <c r="K99" s="779"/>
      <c r="L99" s="779"/>
    </row>
    <row r="100" spans="1:12">
      <c r="E100" s="73"/>
      <c r="F100" s="72"/>
      <c r="G100" s="71"/>
      <c r="H100" s="70"/>
      <c r="J100" s="70"/>
      <c r="K100" s="70"/>
      <c r="L100" s="69"/>
    </row>
    <row r="101" spans="1:12">
      <c r="E101" s="73"/>
      <c r="F101" s="72"/>
      <c r="G101" s="71"/>
      <c r="H101" s="70"/>
      <c r="J101" s="74"/>
      <c r="K101" s="70"/>
      <c r="L101" s="69"/>
    </row>
    <row r="102" spans="1:12">
      <c r="E102" s="73"/>
      <c r="F102" s="72"/>
      <c r="G102" s="71"/>
      <c r="H102" s="70"/>
      <c r="J102" s="70"/>
      <c r="K102" s="70"/>
      <c r="L102" s="69"/>
    </row>
    <row r="103" spans="1:12">
      <c r="E103" s="73"/>
      <c r="F103" s="72"/>
      <c r="G103" s="71"/>
      <c r="H103" s="70"/>
      <c r="J103" s="70"/>
      <c r="K103" s="70"/>
      <c r="L103" s="69"/>
    </row>
    <row r="104" spans="1:12">
      <c r="E104" s="73"/>
      <c r="F104" s="72"/>
      <c r="G104" s="71"/>
      <c r="H104" s="70"/>
      <c r="J104" s="74"/>
      <c r="K104" s="70"/>
      <c r="L104" s="69"/>
    </row>
    <row r="105" spans="1:12">
      <c r="E105" s="73"/>
      <c r="F105" s="72"/>
      <c r="G105" s="71"/>
      <c r="H105" s="70"/>
      <c r="J105" s="70"/>
      <c r="K105" s="70"/>
      <c r="L105" s="69"/>
    </row>
    <row r="106" spans="1:12">
      <c r="E106" s="73"/>
      <c r="F106" s="72"/>
      <c r="G106" s="71"/>
      <c r="H106" s="70"/>
      <c r="J106" s="70"/>
      <c r="K106" s="70"/>
      <c r="L106" s="69"/>
    </row>
    <row r="107" spans="1:12">
      <c r="E107" s="73"/>
      <c r="F107" s="72"/>
      <c r="G107" s="71"/>
      <c r="H107" s="70"/>
      <c r="J107" s="74"/>
      <c r="K107" s="70"/>
      <c r="L107" s="69"/>
    </row>
    <row r="108" spans="1:12">
      <c r="E108" s="73"/>
      <c r="F108" s="72"/>
      <c r="G108" s="71"/>
      <c r="H108" s="70"/>
      <c r="J108" s="70"/>
      <c r="K108" s="70"/>
      <c r="L108" s="69"/>
    </row>
    <row r="109" spans="1:12">
      <c r="E109" s="73"/>
      <c r="F109" s="72"/>
      <c r="G109" s="71"/>
      <c r="H109" s="70"/>
      <c r="J109" s="70"/>
      <c r="K109" s="70"/>
      <c r="L109" s="69"/>
    </row>
    <row r="110" spans="1:12">
      <c r="E110" s="73"/>
      <c r="F110" s="72"/>
      <c r="G110" s="71"/>
      <c r="H110" s="70"/>
      <c r="J110" s="74"/>
      <c r="K110" s="70"/>
      <c r="L110" s="69"/>
    </row>
    <row r="111" spans="1:12">
      <c r="E111" s="73"/>
      <c r="F111" s="72"/>
      <c r="G111" s="71"/>
      <c r="H111" s="70"/>
      <c r="J111" s="70"/>
      <c r="K111" s="70"/>
      <c r="L111" s="69"/>
    </row>
    <row r="112" spans="1:12">
      <c r="E112" s="73"/>
      <c r="F112" s="72"/>
      <c r="G112" s="71"/>
      <c r="H112" s="70"/>
      <c r="J112" s="70"/>
      <c r="K112" s="70"/>
      <c r="L112" s="69"/>
    </row>
    <row r="113" spans="5:12">
      <c r="E113" s="73"/>
      <c r="F113" s="72"/>
      <c r="G113" s="71"/>
      <c r="H113" s="70"/>
      <c r="J113" s="74"/>
      <c r="K113" s="70"/>
      <c r="L113" s="69"/>
    </row>
    <row r="114" spans="5:12">
      <c r="E114" s="73"/>
      <c r="F114" s="72"/>
      <c r="G114" s="71"/>
      <c r="H114" s="70"/>
      <c r="J114" s="70"/>
      <c r="K114" s="70"/>
      <c r="L114" s="69"/>
    </row>
    <row r="115" spans="5:12">
      <c r="E115" s="73"/>
      <c r="F115" s="72"/>
      <c r="G115" s="71"/>
      <c r="H115" s="70"/>
      <c r="J115" s="70"/>
      <c r="K115" s="70"/>
      <c r="L115" s="69"/>
    </row>
  </sheetData>
  <sheetProtection password="CD86" sheet="1" objects="1" scenarios="1"/>
  <mergeCells count="12">
    <mergeCell ref="C99:L99"/>
    <mergeCell ref="A6:E9"/>
    <mergeCell ref="F6:L6"/>
    <mergeCell ref="F7:F9"/>
    <mergeCell ref="G7:G9"/>
    <mergeCell ref="H7:L7"/>
    <mergeCell ref="H8:H9"/>
    <mergeCell ref="I8:I9"/>
    <mergeCell ref="J8:L8"/>
    <mergeCell ref="C91:E91"/>
    <mergeCell ref="B97:L97"/>
    <mergeCell ref="B98:L98"/>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zoomScale="80" zoomScaleNormal="80" zoomScalePageLayoutView="80" workbookViewId="0"/>
  </sheetViews>
  <sheetFormatPr baseColWidth="10" defaultColWidth="11.5" defaultRowHeight="14" x14ac:dyDescent="0"/>
  <cols>
    <col min="1" max="1" width="7.5" style="155" customWidth="1"/>
    <col min="2" max="2" width="12.33203125" style="155" customWidth="1"/>
    <col min="3" max="3" width="37.1640625" style="155" customWidth="1"/>
    <col min="4" max="4" width="14.1640625" style="155" customWidth="1"/>
    <col min="5" max="5" width="8.33203125" style="156" bestFit="1" customWidth="1"/>
    <col min="6" max="6" width="15.6640625" style="155" bestFit="1" customWidth="1"/>
    <col min="7" max="7" width="12.1640625" style="155" bestFit="1" customWidth="1"/>
    <col min="8" max="8" width="11.5" style="155" bestFit="1" customWidth="1"/>
    <col min="9" max="9" width="14.33203125" style="155" bestFit="1" customWidth="1"/>
    <col min="10" max="10" width="12" style="155" bestFit="1" customWidth="1"/>
    <col min="11" max="12" width="12.1640625" style="155" bestFit="1" customWidth="1"/>
    <col min="13" max="13" width="11.6640625" style="155" bestFit="1" customWidth="1"/>
    <col min="14" max="14" width="8.83203125" style="155" bestFit="1" customWidth="1"/>
    <col min="15" max="15" width="10.6640625" style="155" bestFit="1" customWidth="1"/>
    <col min="16" max="16" width="11.33203125" style="155" bestFit="1" customWidth="1"/>
    <col min="17" max="17" width="8.83203125" style="155" bestFit="1" customWidth="1"/>
    <col min="18" max="18" width="8.33203125" style="155" bestFit="1" customWidth="1"/>
    <col min="19" max="20" width="10.5" style="155" bestFit="1" customWidth="1"/>
    <col min="21" max="21" width="9.83203125" style="155" bestFit="1" customWidth="1"/>
    <col min="22" max="22" width="13.6640625" style="155" bestFit="1" customWidth="1"/>
    <col min="23" max="25" width="18.33203125" style="155" customWidth="1"/>
    <col min="26" max="26" width="8.6640625" style="156" bestFit="1" customWidth="1"/>
    <col min="27" max="33" width="20.6640625" style="155" customWidth="1"/>
    <col min="34" max="34" width="7.5" style="155" customWidth="1"/>
    <col min="35" max="35" width="15.83203125" style="156" bestFit="1" customWidth="1"/>
    <col min="36" max="16384" width="11.5" style="156"/>
  </cols>
  <sheetData>
    <row r="1" spans="1:34">
      <c r="A1" s="405" t="s">
        <v>96</v>
      </c>
      <c r="B1" s="406"/>
      <c r="C1" s="406"/>
      <c r="D1" s="406"/>
      <c r="E1" s="407"/>
      <c r="F1" s="406"/>
      <c r="G1" s="406"/>
      <c r="H1" s="406"/>
      <c r="I1" s="406"/>
      <c r="J1" s="406"/>
      <c r="K1" s="406"/>
      <c r="L1" s="406"/>
      <c r="M1" s="406"/>
      <c r="N1" s="406"/>
      <c r="O1" s="406"/>
      <c r="P1" s="406"/>
      <c r="Q1" s="406"/>
      <c r="R1" s="406"/>
      <c r="S1" s="406"/>
      <c r="T1" s="406"/>
      <c r="U1" s="406"/>
      <c r="V1" s="406"/>
      <c r="W1" s="406"/>
      <c r="X1" s="406"/>
      <c r="Y1" s="406"/>
      <c r="Z1" s="407"/>
      <c r="AA1" s="406"/>
      <c r="AB1" s="406"/>
      <c r="AC1" s="406"/>
      <c r="AD1" s="406"/>
      <c r="AE1" s="406"/>
      <c r="AF1" s="406"/>
      <c r="AG1" s="406"/>
      <c r="AH1" s="406"/>
    </row>
    <row r="2" spans="1:34">
      <c r="A2" s="408" t="s">
        <v>97</v>
      </c>
      <c r="B2" s="406"/>
      <c r="C2" s="406"/>
      <c r="D2" s="406"/>
      <c r="E2" s="407"/>
      <c r="F2" s="406"/>
      <c r="G2" s="406"/>
      <c r="H2" s="406"/>
      <c r="I2" s="406"/>
      <c r="J2" s="406"/>
      <c r="K2" s="406"/>
      <c r="L2" s="406"/>
      <c r="M2" s="406"/>
      <c r="N2" s="406"/>
      <c r="O2" s="406"/>
      <c r="P2" s="406"/>
      <c r="Q2" s="406"/>
      <c r="R2" s="406"/>
      <c r="S2" s="406"/>
      <c r="T2" s="406"/>
      <c r="U2" s="406"/>
      <c r="V2" s="406"/>
      <c r="W2" s="406"/>
      <c r="X2" s="406"/>
      <c r="Y2" s="406"/>
      <c r="Z2" s="407"/>
      <c r="AA2" s="406"/>
      <c r="AB2" s="406"/>
      <c r="AC2" s="406"/>
      <c r="AD2" s="406"/>
      <c r="AE2" s="406"/>
      <c r="AF2" s="406"/>
      <c r="AG2" s="406"/>
      <c r="AH2" s="409" t="s">
        <v>98</v>
      </c>
    </row>
    <row r="3" spans="1:34">
      <c r="A3" s="410" t="s">
        <v>99</v>
      </c>
      <c r="B3" s="406"/>
      <c r="C3" s="406"/>
      <c r="D3" s="406"/>
      <c r="E3" s="407"/>
      <c r="F3" s="406"/>
      <c r="G3" s="406"/>
      <c r="H3" s="406"/>
      <c r="I3" s="406"/>
      <c r="J3" s="406"/>
      <c r="K3" s="406"/>
      <c r="L3" s="406"/>
      <c r="M3" s="406"/>
      <c r="N3" s="406"/>
      <c r="O3" s="406"/>
      <c r="P3" s="406"/>
      <c r="Q3" s="406"/>
      <c r="R3" s="406"/>
      <c r="S3" s="406"/>
      <c r="T3" s="406"/>
      <c r="U3" s="406"/>
      <c r="V3" s="406"/>
      <c r="W3" s="406"/>
      <c r="X3" s="406"/>
      <c r="Y3" s="406"/>
      <c r="Z3" s="407"/>
      <c r="AA3" s="406"/>
      <c r="AB3" s="406"/>
      <c r="AC3" s="406"/>
      <c r="AD3" s="406"/>
      <c r="AE3" s="406"/>
      <c r="AF3" s="406"/>
      <c r="AG3" s="406"/>
      <c r="AH3" s="406"/>
    </row>
    <row r="4" spans="1:34">
      <c r="A4" s="411" t="s">
        <v>100</v>
      </c>
      <c r="B4" s="406"/>
      <c r="C4" s="406"/>
      <c r="D4" s="406"/>
      <c r="E4" s="407"/>
      <c r="F4" s="406"/>
      <c r="G4" s="406"/>
      <c r="H4" s="406"/>
      <c r="I4" s="406"/>
      <c r="J4" s="406"/>
      <c r="K4" s="406"/>
      <c r="L4" s="406"/>
      <c r="M4" s="406"/>
      <c r="N4" s="406"/>
      <c r="O4" s="406"/>
      <c r="P4" s="406"/>
      <c r="Q4" s="406"/>
      <c r="R4" s="406"/>
      <c r="S4" s="406"/>
      <c r="T4" s="406"/>
      <c r="U4" s="406"/>
      <c r="V4" s="406"/>
      <c r="W4" s="406"/>
      <c r="X4" s="406"/>
      <c r="Y4" s="406"/>
      <c r="Z4" s="407"/>
      <c r="AA4" s="406"/>
      <c r="AB4" s="412"/>
      <c r="AC4" s="406"/>
      <c r="AD4" s="406"/>
      <c r="AE4" s="406"/>
      <c r="AF4" s="406"/>
      <c r="AG4" s="406"/>
      <c r="AH4" s="406"/>
    </row>
    <row r="5" spans="1:34">
      <c r="A5" s="406"/>
      <c r="B5" s="406"/>
      <c r="C5" s="406"/>
      <c r="D5" s="406"/>
      <c r="E5" s="407"/>
      <c r="F5" s="406"/>
      <c r="G5" s="406"/>
      <c r="H5" s="406"/>
      <c r="I5" s="406"/>
      <c r="J5" s="406"/>
      <c r="K5" s="406"/>
      <c r="L5" s="406"/>
      <c r="M5" s="406"/>
      <c r="N5" s="406"/>
      <c r="O5" s="406"/>
      <c r="P5" s="406"/>
      <c r="Q5" s="406"/>
      <c r="R5" s="406"/>
      <c r="S5" s="406"/>
      <c r="T5" s="406"/>
      <c r="U5" s="406"/>
      <c r="V5" s="406"/>
      <c r="W5" s="406"/>
      <c r="X5" s="406"/>
      <c r="Y5" s="406"/>
      <c r="Z5" s="407"/>
      <c r="AA5" s="406"/>
      <c r="AB5" s="406"/>
      <c r="AC5" s="406"/>
      <c r="AD5" s="406"/>
      <c r="AE5" s="406"/>
      <c r="AF5" s="406"/>
      <c r="AG5" s="406"/>
      <c r="AH5" s="406"/>
    </row>
    <row r="6" spans="1:34" ht="15" thickBot="1">
      <c r="A6" s="410"/>
      <c r="B6" s="406"/>
      <c r="C6" s="406"/>
      <c r="D6" s="406"/>
      <c r="E6" s="407"/>
      <c r="F6" s="406"/>
      <c r="G6" s="406"/>
      <c r="H6" s="406"/>
      <c r="I6" s="406"/>
      <c r="J6" s="406"/>
      <c r="K6" s="406"/>
      <c r="L6" s="406"/>
      <c r="M6" s="406"/>
      <c r="N6" s="406"/>
      <c r="O6" s="406"/>
      <c r="P6" s="406"/>
      <c r="Q6" s="406"/>
      <c r="R6" s="406"/>
      <c r="S6" s="406"/>
      <c r="T6" s="406"/>
      <c r="U6" s="406"/>
      <c r="V6" s="406"/>
      <c r="W6" s="406"/>
      <c r="X6" s="406"/>
      <c r="Y6" s="406"/>
      <c r="Z6" s="407"/>
      <c r="AA6" s="406"/>
      <c r="AB6" s="406"/>
      <c r="AC6" s="406"/>
      <c r="AD6" s="406"/>
      <c r="AE6" s="406"/>
      <c r="AF6" s="406"/>
      <c r="AG6" s="406"/>
      <c r="AH6" s="406"/>
    </row>
    <row r="7" spans="1:34" ht="30" customHeight="1" thickTop="1" thickBot="1">
      <c r="A7" s="806" t="s">
        <v>101</v>
      </c>
      <c r="B7" s="806" t="s">
        <v>102</v>
      </c>
      <c r="C7" s="824"/>
      <c r="D7" s="413"/>
      <c r="E7" s="414"/>
      <c r="F7" s="827" t="s">
        <v>103</v>
      </c>
      <c r="G7" s="828"/>
      <c r="H7" s="828"/>
      <c r="I7" s="828"/>
      <c r="J7" s="828"/>
      <c r="K7" s="828"/>
      <c r="L7" s="828"/>
      <c r="M7" s="828"/>
      <c r="N7" s="828"/>
      <c r="O7" s="828"/>
      <c r="P7" s="828"/>
      <c r="Q7" s="828"/>
      <c r="R7" s="828"/>
      <c r="S7" s="828"/>
      <c r="T7" s="828"/>
      <c r="U7" s="828"/>
      <c r="V7" s="828"/>
      <c r="W7" s="828"/>
      <c r="X7" s="828"/>
      <c r="Y7" s="829"/>
      <c r="Z7" s="415"/>
      <c r="AA7" s="830" t="s">
        <v>104</v>
      </c>
      <c r="AB7" s="831"/>
      <c r="AC7" s="831"/>
      <c r="AD7" s="831"/>
      <c r="AE7" s="831"/>
      <c r="AF7" s="831"/>
      <c r="AG7" s="832"/>
      <c r="AH7" s="806" t="s">
        <v>101</v>
      </c>
    </row>
    <row r="8" spans="1:34" ht="188.5" customHeight="1" thickTop="1" thickBot="1">
      <c r="A8" s="807"/>
      <c r="B8" s="807"/>
      <c r="C8" s="825"/>
      <c r="D8" s="416" t="s">
        <v>105</v>
      </c>
      <c r="E8" s="414"/>
      <c r="F8" s="417" t="s">
        <v>106</v>
      </c>
      <c r="G8" s="418" t="s">
        <v>107</v>
      </c>
      <c r="H8" s="418" t="s">
        <v>48</v>
      </c>
      <c r="I8" s="418" t="s">
        <v>108</v>
      </c>
      <c r="J8" s="418" t="s">
        <v>15</v>
      </c>
      <c r="K8" s="418" t="s">
        <v>109</v>
      </c>
      <c r="L8" s="418" t="s">
        <v>110</v>
      </c>
      <c r="M8" s="418" t="s">
        <v>111</v>
      </c>
      <c r="N8" s="418" t="s">
        <v>50</v>
      </c>
      <c r="O8" s="418" t="s">
        <v>51</v>
      </c>
      <c r="P8" s="418" t="s">
        <v>52</v>
      </c>
      <c r="Q8" s="418" t="s">
        <v>53</v>
      </c>
      <c r="R8" s="418" t="s">
        <v>112</v>
      </c>
      <c r="S8" s="418" t="s">
        <v>54</v>
      </c>
      <c r="T8" s="418" t="s">
        <v>55</v>
      </c>
      <c r="U8" s="418" t="s">
        <v>56</v>
      </c>
      <c r="V8" s="418" t="s">
        <v>57</v>
      </c>
      <c r="W8" s="418" t="s">
        <v>58</v>
      </c>
      <c r="X8" s="418" t="s">
        <v>73</v>
      </c>
      <c r="Y8" s="416" t="s">
        <v>74</v>
      </c>
      <c r="Z8" s="419"/>
      <c r="AA8" s="417" t="s">
        <v>113</v>
      </c>
      <c r="AB8" s="420" t="s">
        <v>114</v>
      </c>
      <c r="AC8" s="420" t="s">
        <v>115</v>
      </c>
      <c r="AD8" s="421" t="s">
        <v>116</v>
      </c>
      <c r="AE8" s="421" t="s">
        <v>117</v>
      </c>
      <c r="AF8" s="421" t="s">
        <v>118</v>
      </c>
      <c r="AG8" s="422" t="s">
        <v>119</v>
      </c>
      <c r="AH8" s="807"/>
    </row>
    <row r="9" spans="1:34" ht="15" hidden="1" thickBot="1">
      <c r="A9" s="807"/>
      <c r="B9" s="807"/>
      <c r="C9" s="825"/>
      <c r="D9" s="423"/>
      <c r="E9" s="424"/>
      <c r="F9" s="425"/>
      <c r="G9" s="426">
        <v>11</v>
      </c>
      <c r="H9" s="427">
        <v>21</v>
      </c>
      <c r="I9" s="428">
        <v>22</v>
      </c>
      <c r="J9" s="428">
        <v>23</v>
      </c>
      <c r="K9" s="428" t="s">
        <v>59</v>
      </c>
      <c r="L9" s="428" t="s">
        <v>60</v>
      </c>
      <c r="M9" s="428" t="s">
        <v>72</v>
      </c>
      <c r="N9" s="428">
        <v>51</v>
      </c>
      <c r="O9" s="428">
        <v>52</v>
      </c>
      <c r="P9" s="428">
        <v>53</v>
      </c>
      <c r="Q9" s="428">
        <v>54</v>
      </c>
      <c r="R9" s="428">
        <v>55</v>
      </c>
      <c r="S9" s="428">
        <v>56</v>
      </c>
      <c r="T9" s="428">
        <v>61</v>
      </c>
      <c r="U9" s="428">
        <v>62</v>
      </c>
      <c r="V9" s="428">
        <v>71</v>
      </c>
      <c r="W9" s="428">
        <v>72</v>
      </c>
      <c r="X9" s="428">
        <v>81</v>
      </c>
      <c r="Y9" s="429">
        <v>93</v>
      </c>
      <c r="Z9" s="430"/>
      <c r="AA9" s="431"/>
      <c r="AB9" s="432"/>
      <c r="AC9" s="433"/>
      <c r="AD9" s="432"/>
      <c r="AE9" s="432"/>
      <c r="AF9" s="432"/>
      <c r="AG9" s="434"/>
      <c r="AH9" s="808"/>
    </row>
    <row r="10" spans="1:34" ht="19.25" customHeight="1" thickBot="1">
      <c r="A10" s="435"/>
      <c r="B10" s="436"/>
      <c r="C10" s="826"/>
      <c r="D10" s="435"/>
      <c r="E10" s="424"/>
      <c r="F10" s="437"/>
      <c r="G10" s="438">
        <v>1</v>
      </c>
      <c r="H10" s="439">
        <v>2</v>
      </c>
      <c r="I10" s="440">
        <v>3</v>
      </c>
      <c r="J10" s="440">
        <v>4</v>
      </c>
      <c r="K10" s="440">
        <v>5</v>
      </c>
      <c r="L10" s="440">
        <v>6</v>
      </c>
      <c r="M10" s="440">
        <v>7</v>
      </c>
      <c r="N10" s="440">
        <v>8</v>
      </c>
      <c r="O10" s="440">
        <v>9</v>
      </c>
      <c r="P10" s="440">
        <v>10</v>
      </c>
      <c r="Q10" s="440">
        <v>11</v>
      </c>
      <c r="R10" s="438">
        <v>12</v>
      </c>
      <c r="S10" s="439">
        <v>13</v>
      </c>
      <c r="T10" s="440">
        <v>14</v>
      </c>
      <c r="U10" s="440">
        <v>15</v>
      </c>
      <c r="V10" s="440">
        <v>16</v>
      </c>
      <c r="W10" s="440">
        <v>17</v>
      </c>
      <c r="X10" s="440">
        <v>18</v>
      </c>
      <c r="Y10" s="441">
        <v>19</v>
      </c>
      <c r="Z10" s="414"/>
      <c r="AA10" s="425">
        <v>20</v>
      </c>
      <c r="AB10" s="442">
        <v>21</v>
      </c>
      <c r="AC10" s="443">
        <v>22</v>
      </c>
      <c r="AD10" s="444">
        <v>23</v>
      </c>
      <c r="AE10" s="444">
        <v>24</v>
      </c>
      <c r="AF10" s="444">
        <v>25</v>
      </c>
      <c r="AG10" s="427">
        <v>26</v>
      </c>
      <c r="AH10" s="445"/>
    </row>
    <row r="11" spans="1:34" ht="33.75" customHeight="1" thickTop="1">
      <c r="A11" s="446">
        <v>1</v>
      </c>
      <c r="B11" s="447">
        <v>11</v>
      </c>
      <c r="C11" s="448" t="s">
        <v>107</v>
      </c>
      <c r="D11" s="449">
        <f t="shared" ref="D11:D33" si="0">F11+AA11</f>
        <v>876747.73199999984</v>
      </c>
      <c r="E11" s="450"/>
      <c r="F11" s="451">
        <f t="shared" ref="F11:F27" si="1">SUM(G11:Y11)</f>
        <v>520362.82299999997</v>
      </c>
      <c r="G11" s="452">
        <v>68785.864000000001</v>
      </c>
      <c r="H11" s="453"/>
      <c r="I11" s="453"/>
      <c r="J11" s="453">
        <v>797.23399999999992</v>
      </c>
      <c r="K11" s="453">
        <v>450728.88799999992</v>
      </c>
      <c r="L11" s="453"/>
      <c r="M11" s="453"/>
      <c r="N11" s="453"/>
      <c r="O11" s="453"/>
      <c r="P11" s="453"/>
      <c r="Q11" s="453"/>
      <c r="R11" s="453"/>
      <c r="S11" s="453"/>
      <c r="T11" s="453"/>
      <c r="U11" s="453">
        <v>32.466999999999999</v>
      </c>
      <c r="V11" s="453"/>
      <c r="W11" s="453">
        <v>8.8290000000000006</v>
      </c>
      <c r="X11" s="453">
        <v>9.5410000000000004</v>
      </c>
      <c r="Y11" s="454"/>
      <c r="Z11" s="450"/>
      <c r="AA11" s="455">
        <f>SUM(AB11:AG11)</f>
        <v>356384.90899999993</v>
      </c>
      <c r="AB11" s="456">
        <v>206222.97399999999</v>
      </c>
      <c r="AC11" s="457"/>
      <c r="AD11" s="458">
        <v>9410.1970000000001</v>
      </c>
      <c r="AE11" s="458">
        <v>55904.631999999998</v>
      </c>
      <c r="AF11" s="458">
        <v>84847.115999999995</v>
      </c>
      <c r="AG11" s="459">
        <v>-1.0000000000000002E-2</v>
      </c>
      <c r="AH11" s="446">
        <v>1</v>
      </c>
    </row>
    <row r="12" spans="1:34" ht="33.75" customHeight="1">
      <c r="A12" s="460">
        <v>2</v>
      </c>
      <c r="B12" s="461">
        <v>21</v>
      </c>
      <c r="C12" s="448" t="s">
        <v>48</v>
      </c>
      <c r="D12" s="449">
        <f t="shared" si="0"/>
        <v>1334251.362</v>
      </c>
      <c r="E12" s="450"/>
      <c r="F12" s="451">
        <f t="shared" si="1"/>
        <v>689050.59899999993</v>
      </c>
      <c r="G12" s="462">
        <v>1272.616</v>
      </c>
      <c r="H12" s="463">
        <v>7492.4960000000001</v>
      </c>
      <c r="I12" s="463">
        <v>8309.768</v>
      </c>
      <c r="J12" s="463">
        <v>25440.175999999999</v>
      </c>
      <c r="K12" s="463">
        <v>646375.09699999995</v>
      </c>
      <c r="L12" s="463">
        <v>5.109</v>
      </c>
      <c r="M12" s="463">
        <v>155.328</v>
      </c>
      <c r="N12" s="463"/>
      <c r="O12" s="463"/>
      <c r="P12" s="463"/>
      <c r="Q12" s="463"/>
      <c r="R12" s="463"/>
      <c r="S12" s="463"/>
      <c r="T12" s="463"/>
      <c r="U12" s="463">
        <v>9.0000000000000011E-3</v>
      </c>
      <c r="V12" s="463"/>
      <c r="W12" s="463"/>
      <c r="X12" s="463"/>
      <c r="Y12" s="464"/>
      <c r="Z12" s="450"/>
      <c r="AA12" s="465">
        <f t="shared" ref="AA12:AA29" si="2">SUM(AB12:AG12)</f>
        <v>645200.76300000004</v>
      </c>
      <c r="AB12" s="466"/>
      <c r="AC12" s="467"/>
      <c r="AD12" s="468">
        <v>139469.86799999999</v>
      </c>
      <c r="AE12" s="468">
        <v>-1901.0110000000004</v>
      </c>
      <c r="AF12" s="468">
        <v>507631.91500000004</v>
      </c>
      <c r="AG12" s="469">
        <v>-9.0000000000000011E-3</v>
      </c>
      <c r="AH12" s="460">
        <v>2</v>
      </c>
    </row>
    <row r="13" spans="1:34" ht="33.75" customHeight="1">
      <c r="A13" s="460">
        <v>3</v>
      </c>
      <c r="B13" s="461">
        <v>22</v>
      </c>
      <c r="C13" s="448" t="s">
        <v>108</v>
      </c>
      <c r="D13" s="449">
        <f t="shared" si="0"/>
        <v>425750.33799999999</v>
      </c>
      <c r="E13" s="450"/>
      <c r="F13" s="451">
        <f t="shared" si="1"/>
        <v>284496.96999999997</v>
      </c>
      <c r="G13" s="462">
        <v>10139.440999999999</v>
      </c>
      <c r="H13" s="463">
        <v>9687.0190000000002</v>
      </c>
      <c r="I13" s="463">
        <v>3839.9849999999997</v>
      </c>
      <c r="J13" s="463">
        <v>8171.512999999999</v>
      </c>
      <c r="K13" s="463">
        <v>97443.637999999992</v>
      </c>
      <c r="L13" s="463">
        <v>41969.144999999997</v>
      </c>
      <c r="M13" s="463">
        <v>7879.3229999999994</v>
      </c>
      <c r="N13" s="463">
        <v>5252.8309999999992</v>
      </c>
      <c r="O13" s="463">
        <v>3261.8289999999993</v>
      </c>
      <c r="P13" s="463">
        <v>18135.068000000003</v>
      </c>
      <c r="Q13" s="463">
        <v>4317.3280000000004</v>
      </c>
      <c r="R13" s="463">
        <v>200.40299999999999</v>
      </c>
      <c r="S13" s="463">
        <v>5465.768</v>
      </c>
      <c r="T13" s="463">
        <v>11839.660999999998</v>
      </c>
      <c r="U13" s="463">
        <v>10098.723</v>
      </c>
      <c r="V13" s="463">
        <v>2744.6689999999999</v>
      </c>
      <c r="W13" s="463">
        <v>21721.481</v>
      </c>
      <c r="X13" s="463">
        <v>7301.2830000000004</v>
      </c>
      <c r="Y13" s="464">
        <v>15027.862000000001</v>
      </c>
      <c r="Z13" s="450"/>
      <c r="AA13" s="465">
        <f t="shared" si="2"/>
        <v>141253.36799999999</v>
      </c>
      <c r="AB13" s="466">
        <v>134335.21799999999</v>
      </c>
      <c r="AC13" s="467"/>
      <c r="AD13" s="468"/>
      <c r="AE13" s="468"/>
      <c r="AF13" s="468">
        <v>6918.15</v>
      </c>
      <c r="AG13" s="469"/>
      <c r="AH13" s="460">
        <v>3</v>
      </c>
    </row>
    <row r="14" spans="1:34" ht="33.75" customHeight="1">
      <c r="A14" s="460">
        <v>4</v>
      </c>
      <c r="B14" s="461">
        <v>23</v>
      </c>
      <c r="C14" s="448" t="s">
        <v>15</v>
      </c>
      <c r="D14" s="449">
        <f t="shared" si="0"/>
        <v>1937963.1089999997</v>
      </c>
      <c r="E14" s="450"/>
      <c r="F14" s="451">
        <f t="shared" si="1"/>
        <v>142118.70999999996</v>
      </c>
      <c r="G14" s="462">
        <v>1142.818</v>
      </c>
      <c r="H14" s="463">
        <v>3471.377</v>
      </c>
      <c r="I14" s="463">
        <v>1053.9050000000002</v>
      </c>
      <c r="J14" s="463">
        <v>119305.568</v>
      </c>
      <c r="K14" s="463">
        <v>2578.5000000000005</v>
      </c>
      <c r="L14" s="463">
        <v>2163.598</v>
      </c>
      <c r="M14" s="463">
        <v>1782.123</v>
      </c>
      <c r="N14" s="463">
        <v>1.8760000000000003</v>
      </c>
      <c r="O14" s="463"/>
      <c r="P14" s="463">
        <v>257.15700000000004</v>
      </c>
      <c r="Q14" s="463">
        <v>13.082000000000001</v>
      </c>
      <c r="R14" s="463">
        <v>5.4610000000000012</v>
      </c>
      <c r="S14" s="463">
        <v>18.393999999999998</v>
      </c>
      <c r="T14" s="463">
        <v>2946.4979999999996</v>
      </c>
      <c r="U14" s="463">
        <v>4493.4740000000002</v>
      </c>
      <c r="V14" s="463">
        <v>108.10599999999999</v>
      </c>
      <c r="W14" s="463">
        <v>292.233</v>
      </c>
      <c r="X14" s="463">
        <v>290.31900000000002</v>
      </c>
      <c r="Y14" s="464">
        <v>2194.2209999999995</v>
      </c>
      <c r="Z14" s="450"/>
      <c r="AA14" s="465">
        <f t="shared" si="2"/>
        <v>1795844.3989999997</v>
      </c>
      <c r="AB14" s="466"/>
      <c r="AC14" s="467">
        <v>34.405999999999999</v>
      </c>
      <c r="AD14" s="468">
        <v>1795809.9929999998</v>
      </c>
      <c r="AE14" s="468"/>
      <c r="AF14" s="468"/>
      <c r="AG14" s="469"/>
      <c r="AH14" s="460">
        <v>4</v>
      </c>
    </row>
    <row r="15" spans="1:34" ht="33.75" customHeight="1">
      <c r="A15" s="460">
        <v>5</v>
      </c>
      <c r="B15" s="461" t="s">
        <v>59</v>
      </c>
      <c r="C15" s="448" t="s">
        <v>109</v>
      </c>
      <c r="D15" s="449">
        <f t="shared" si="0"/>
        <v>13078133.284999998</v>
      </c>
      <c r="E15" s="450"/>
      <c r="F15" s="451">
        <f>SUM(G15:Y15)</f>
        <v>5283001.0649999976</v>
      </c>
      <c r="G15" s="462">
        <v>126225.49099999997</v>
      </c>
      <c r="H15" s="463">
        <v>101332.35</v>
      </c>
      <c r="I15" s="463">
        <v>177704.902</v>
      </c>
      <c r="J15" s="463">
        <v>568936.80599999998</v>
      </c>
      <c r="K15" s="463">
        <v>3425744.1739999996</v>
      </c>
      <c r="L15" s="463">
        <v>168529.32499999995</v>
      </c>
      <c r="M15" s="463">
        <v>297152.20099999994</v>
      </c>
      <c r="N15" s="463">
        <v>73925.685000000012</v>
      </c>
      <c r="O15" s="463">
        <v>19648.684999999998</v>
      </c>
      <c r="P15" s="463">
        <v>34878.399999999994</v>
      </c>
      <c r="Q15" s="463">
        <v>15481.116999999997</v>
      </c>
      <c r="R15" s="463">
        <v>1158.402</v>
      </c>
      <c r="S15" s="463">
        <v>20999.767000000003</v>
      </c>
      <c r="T15" s="463">
        <v>10948.37</v>
      </c>
      <c r="U15" s="463">
        <v>56584.651000000005</v>
      </c>
      <c r="V15" s="463">
        <v>5290.1509999999998</v>
      </c>
      <c r="W15" s="463">
        <v>62323.286</v>
      </c>
      <c r="X15" s="463">
        <v>45187.089</v>
      </c>
      <c r="Y15" s="464">
        <v>70950.212999999974</v>
      </c>
      <c r="Z15" s="450"/>
      <c r="AA15" s="465">
        <f t="shared" si="2"/>
        <v>7795132.2200000007</v>
      </c>
      <c r="AB15" s="466">
        <v>4206858.9790000003</v>
      </c>
      <c r="AC15" s="467">
        <v>1934.3589999999999</v>
      </c>
      <c r="AD15" s="468">
        <v>848540.54099999997</v>
      </c>
      <c r="AE15" s="468">
        <v>110699.833</v>
      </c>
      <c r="AF15" s="468">
        <v>2619189.6680000001</v>
      </c>
      <c r="AG15" s="469">
        <v>7908.8399999999992</v>
      </c>
      <c r="AH15" s="460">
        <v>5</v>
      </c>
    </row>
    <row r="16" spans="1:34" ht="33.75" customHeight="1">
      <c r="A16" s="460">
        <v>6</v>
      </c>
      <c r="B16" s="461" t="s">
        <v>60</v>
      </c>
      <c r="C16" s="448" t="s">
        <v>110</v>
      </c>
      <c r="D16" s="449">
        <f t="shared" si="0"/>
        <v>0</v>
      </c>
      <c r="E16" s="450"/>
      <c r="F16" s="451">
        <f t="shared" si="1"/>
        <v>0</v>
      </c>
      <c r="G16" s="462"/>
      <c r="H16" s="463"/>
      <c r="I16" s="463"/>
      <c r="J16" s="463"/>
      <c r="K16" s="463"/>
      <c r="L16" s="463"/>
      <c r="M16" s="463"/>
      <c r="N16" s="463"/>
      <c r="O16" s="463"/>
      <c r="P16" s="463"/>
      <c r="Q16" s="463"/>
      <c r="R16" s="463"/>
      <c r="S16" s="463"/>
      <c r="T16" s="463"/>
      <c r="U16" s="463"/>
      <c r="V16" s="463"/>
      <c r="W16" s="463"/>
      <c r="X16" s="463"/>
      <c r="Y16" s="464"/>
      <c r="Z16" s="450"/>
      <c r="AA16" s="465">
        <f t="shared" si="2"/>
        <v>0</v>
      </c>
      <c r="AB16" s="466"/>
      <c r="AC16" s="467"/>
      <c r="AD16" s="468"/>
      <c r="AE16" s="468"/>
      <c r="AF16" s="468"/>
      <c r="AG16" s="469"/>
      <c r="AH16" s="460">
        <v>6</v>
      </c>
    </row>
    <row r="17" spans="1:34" ht="33.75" customHeight="1">
      <c r="A17" s="460">
        <v>7</v>
      </c>
      <c r="B17" s="461" t="s">
        <v>72</v>
      </c>
      <c r="C17" s="448" t="s">
        <v>111</v>
      </c>
      <c r="D17" s="449">
        <f t="shared" si="0"/>
        <v>609432.71799999999</v>
      </c>
      <c r="E17" s="450"/>
      <c r="F17" s="451">
        <f t="shared" si="1"/>
        <v>102886.92599999998</v>
      </c>
      <c r="G17" s="462">
        <v>410.35599999999999</v>
      </c>
      <c r="H17" s="463">
        <v>521.6400000000001</v>
      </c>
      <c r="I17" s="463">
        <v>1425.5889999999999</v>
      </c>
      <c r="J17" s="463">
        <v>2181.4969999999998</v>
      </c>
      <c r="K17" s="463">
        <v>27843.421000000002</v>
      </c>
      <c r="L17" s="463">
        <v>13078.45</v>
      </c>
      <c r="M17" s="463">
        <v>23721.877999999993</v>
      </c>
      <c r="N17" s="463">
        <v>4148.34</v>
      </c>
      <c r="O17" s="463">
        <v>7230.9719999999988</v>
      </c>
      <c r="P17" s="463">
        <v>965.27099999999984</v>
      </c>
      <c r="Q17" s="463">
        <v>2416.66</v>
      </c>
      <c r="R17" s="463">
        <v>177.93799999999996</v>
      </c>
      <c r="S17" s="463">
        <v>2044.193</v>
      </c>
      <c r="T17" s="463">
        <v>1523.502</v>
      </c>
      <c r="U17" s="463">
        <v>2242.8890000000001</v>
      </c>
      <c r="V17" s="463">
        <v>243.01499999999999</v>
      </c>
      <c r="W17" s="463">
        <v>166.273</v>
      </c>
      <c r="X17" s="463">
        <v>737.37900000000002</v>
      </c>
      <c r="Y17" s="464">
        <v>11807.663</v>
      </c>
      <c r="Z17" s="450"/>
      <c r="AA17" s="465">
        <f t="shared" si="2"/>
        <v>506545.79200000002</v>
      </c>
      <c r="AB17" s="466">
        <v>489387.679</v>
      </c>
      <c r="AC17" s="467"/>
      <c r="AD17" s="468"/>
      <c r="AE17" s="468"/>
      <c r="AF17" s="468">
        <v>17158.112000000001</v>
      </c>
      <c r="AG17" s="469">
        <v>1E-3</v>
      </c>
      <c r="AH17" s="460">
        <v>7</v>
      </c>
    </row>
    <row r="18" spans="1:34" ht="33.75" customHeight="1">
      <c r="A18" s="460">
        <v>8</v>
      </c>
      <c r="B18" s="461">
        <v>51</v>
      </c>
      <c r="C18" s="448" t="s">
        <v>50</v>
      </c>
      <c r="D18" s="449">
        <f t="shared" si="0"/>
        <v>519113.26999999996</v>
      </c>
      <c r="E18" s="450"/>
      <c r="F18" s="451">
        <f t="shared" si="1"/>
        <v>171137.07599999994</v>
      </c>
      <c r="G18" s="462">
        <v>253.553</v>
      </c>
      <c r="H18" s="463">
        <v>1416.5850000000003</v>
      </c>
      <c r="I18" s="463">
        <v>1103.3890000000001</v>
      </c>
      <c r="J18" s="463">
        <v>12955.803</v>
      </c>
      <c r="K18" s="463">
        <v>12867.604000000003</v>
      </c>
      <c r="L18" s="463">
        <v>13690.915999999999</v>
      </c>
      <c r="M18" s="463">
        <v>7807.2839999999987</v>
      </c>
      <c r="N18" s="463">
        <v>25805.688999999998</v>
      </c>
      <c r="O18" s="463">
        <v>42346.307999999997</v>
      </c>
      <c r="P18" s="463">
        <v>6796.4050000000016</v>
      </c>
      <c r="Q18" s="463">
        <v>6648.4089999999987</v>
      </c>
      <c r="R18" s="463">
        <v>679.66100000000006</v>
      </c>
      <c r="S18" s="463">
        <v>5260.7360000000008</v>
      </c>
      <c r="T18" s="463">
        <v>6675.6820000000007</v>
      </c>
      <c r="U18" s="463">
        <v>3517.8950000000004</v>
      </c>
      <c r="V18" s="463">
        <v>1111.4380000000001</v>
      </c>
      <c r="W18" s="463">
        <v>2331.826</v>
      </c>
      <c r="X18" s="463">
        <v>3573.6499999999996</v>
      </c>
      <c r="Y18" s="464">
        <v>16294.243000000002</v>
      </c>
      <c r="Z18" s="450"/>
      <c r="AA18" s="465">
        <f t="shared" si="2"/>
        <v>347976.19400000002</v>
      </c>
      <c r="AB18" s="466">
        <v>339501.73800000001</v>
      </c>
      <c r="AC18" s="467">
        <v>67.628</v>
      </c>
      <c r="AD18" s="468">
        <v>3881.4319999999998</v>
      </c>
      <c r="AE18" s="468"/>
      <c r="AF18" s="468">
        <v>4525.3959999999997</v>
      </c>
      <c r="AG18" s="469"/>
      <c r="AH18" s="460">
        <v>8</v>
      </c>
    </row>
    <row r="19" spans="1:34" ht="33.75" customHeight="1">
      <c r="A19" s="460">
        <v>9</v>
      </c>
      <c r="B19" s="461">
        <v>52</v>
      </c>
      <c r="C19" s="448" t="s">
        <v>51</v>
      </c>
      <c r="D19" s="449">
        <f t="shared" si="0"/>
        <v>656207.429</v>
      </c>
      <c r="E19" s="450"/>
      <c r="F19" s="451">
        <f t="shared" si="1"/>
        <v>244852.20199999999</v>
      </c>
      <c r="G19" s="462">
        <v>4662.8150000000005</v>
      </c>
      <c r="H19" s="463">
        <v>8597.1839999999993</v>
      </c>
      <c r="I19" s="463">
        <v>2154.2149999999997</v>
      </c>
      <c r="J19" s="463">
        <v>40041.735000000001</v>
      </c>
      <c r="K19" s="463">
        <v>32544.621999999999</v>
      </c>
      <c r="L19" s="463">
        <v>14087.296</v>
      </c>
      <c r="M19" s="463">
        <v>15871.551000000003</v>
      </c>
      <c r="N19" s="463">
        <v>11658.794</v>
      </c>
      <c r="O19" s="463">
        <v>57236.202000000005</v>
      </c>
      <c r="P19" s="463">
        <v>11227.222000000002</v>
      </c>
      <c r="Q19" s="463">
        <v>8216.7149999999983</v>
      </c>
      <c r="R19" s="463">
        <v>1360.1220000000001</v>
      </c>
      <c r="S19" s="463">
        <v>6625.927999999999</v>
      </c>
      <c r="T19" s="463">
        <v>2563.471</v>
      </c>
      <c r="U19" s="463">
        <v>1185.1679999999999</v>
      </c>
      <c r="V19" s="463">
        <v>1169.415</v>
      </c>
      <c r="W19" s="463">
        <v>3621.2150000000001</v>
      </c>
      <c r="X19" s="463">
        <v>821.48400000000004</v>
      </c>
      <c r="Y19" s="464">
        <v>21207.047999999999</v>
      </c>
      <c r="Z19" s="450"/>
      <c r="AA19" s="465">
        <f t="shared" si="2"/>
        <v>411355.22700000001</v>
      </c>
      <c r="AB19" s="466">
        <v>385042.43800000002</v>
      </c>
      <c r="AC19" s="467">
        <v>2334.723</v>
      </c>
      <c r="AD19" s="468"/>
      <c r="AE19" s="468"/>
      <c r="AF19" s="468">
        <v>23978.066000000003</v>
      </c>
      <c r="AG19" s="469"/>
      <c r="AH19" s="460">
        <v>9</v>
      </c>
    </row>
    <row r="20" spans="1:34" ht="33.75" customHeight="1">
      <c r="A20" s="460">
        <v>10</v>
      </c>
      <c r="B20" s="461">
        <v>53</v>
      </c>
      <c r="C20" s="448" t="s">
        <v>52</v>
      </c>
      <c r="D20" s="449">
        <f t="shared" si="0"/>
        <v>1740464.358</v>
      </c>
      <c r="E20" s="450"/>
      <c r="F20" s="451">
        <f t="shared" si="1"/>
        <v>284241.038</v>
      </c>
      <c r="G20" s="462">
        <v>2096.7949999999996</v>
      </c>
      <c r="H20" s="463">
        <v>7636.42</v>
      </c>
      <c r="I20" s="463">
        <v>531.4559999999999</v>
      </c>
      <c r="J20" s="463">
        <v>12273.691999999999</v>
      </c>
      <c r="K20" s="463">
        <v>45270.639000000003</v>
      </c>
      <c r="L20" s="463">
        <v>78858.713000000018</v>
      </c>
      <c r="M20" s="463">
        <v>20447.913999999997</v>
      </c>
      <c r="N20" s="463">
        <v>14620.69</v>
      </c>
      <c r="O20" s="463">
        <v>12333.649000000001</v>
      </c>
      <c r="P20" s="463">
        <v>28220.297999999995</v>
      </c>
      <c r="Q20" s="463">
        <v>10729.285999999998</v>
      </c>
      <c r="R20" s="463">
        <v>1895.136</v>
      </c>
      <c r="S20" s="463">
        <v>5839.5989999999993</v>
      </c>
      <c r="T20" s="463">
        <v>7403.293999999999</v>
      </c>
      <c r="U20" s="463">
        <v>4990.009</v>
      </c>
      <c r="V20" s="463">
        <v>1983.7289999999998</v>
      </c>
      <c r="W20" s="463">
        <v>4328.4410000000007</v>
      </c>
      <c r="X20" s="463">
        <v>16786.242000000002</v>
      </c>
      <c r="Y20" s="464">
        <v>7995.036000000001</v>
      </c>
      <c r="Z20" s="450"/>
      <c r="AA20" s="465">
        <f t="shared" si="2"/>
        <v>1456223.32</v>
      </c>
      <c r="AB20" s="466">
        <v>1423071.4850000001</v>
      </c>
      <c r="AC20" s="467">
        <v>104.76300000000001</v>
      </c>
      <c r="AD20" s="468">
        <v>33042.758000000002</v>
      </c>
      <c r="AE20" s="468"/>
      <c r="AF20" s="468">
        <v>4.3159999999999998</v>
      </c>
      <c r="AG20" s="469">
        <v>-2E-3</v>
      </c>
      <c r="AH20" s="460">
        <v>10</v>
      </c>
    </row>
    <row r="21" spans="1:34" ht="33.75" customHeight="1">
      <c r="A21" s="460">
        <v>11</v>
      </c>
      <c r="B21" s="461">
        <v>54</v>
      </c>
      <c r="C21" s="448" t="s">
        <v>53</v>
      </c>
      <c r="D21" s="449">
        <f t="shared" si="0"/>
        <v>422309.98800000007</v>
      </c>
      <c r="E21" s="450"/>
      <c r="F21" s="451">
        <f t="shared" si="1"/>
        <v>346824.76900000009</v>
      </c>
      <c r="G21" s="462">
        <v>709.52899999999988</v>
      </c>
      <c r="H21" s="463">
        <v>15212.837</v>
      </c>
      <c r="I21" s="463">
        <v>6023.7120000000004</v>
      </c>
      <c r="J21" s="463">
        <v>20369.219000000001</v>
      </c>
      <c r="K21" s="463">
        <v>68712.253000000012</v>
      </c>
      <c r="L21" s="463">
        <v>29532.222000000002</v>
      </c>
      <c r="M21" s="463">
        <v>33156.445</v>
      </c>
      <c r="N21" s="463">
        <v>16691.035000000003</v>
      </c>
      <c r="O21" s="463">
        <v>25949.916999999998</v>
      </c>
      <c r="P21" s="463">
        <v>21737.020999999997</v>
      </c>
      <c r="Q21" s="463">
        <v>27502.046000000006</v>
      </c>
      <c r="R21" s="463">
        <v>5937.9119999999994</v>
      </c>
      <c r="S21" s="463">
        <v>14272.813000000004</v>
      </c>
      <c r="T21" s="463">
        <v>10005.74</v>
      </c>
      <c r="U21" s="463">
        <v>16338.135</v>
      </c>
      <c r="V21" s="463">
        <v>2182.0479999999998</v>
      </c>
      <c r="W21" s="463">
        <v>5914.5409999999993</v>
      </c>
      <c r="X21" s="463">
        <v>7158.93</v>
      </c>
      <c r="Y21" s="464">
        <v>19418.414000000001</v>
      </c>
      <c r="Z21" s="450"/>
      <c r="AA21" s="465">
        <f t="shared" si="2"/>
        <v>75485.218999999983</v>
      </c>
      <c r="AB21" s="466">
        <v>53245.976999999999</v>
      </c>
      <c r="AC21" s="467">
        <v>15613.609</v>
      </c>
      <c r="AD21" s="468">
        <v>265.24099999999999</v>
      </c>
      <c r="AE21" s="468"/>
      <c r="AF21" s="468">
        <v>6360.393</v>
      </c>
      <c r="AG21" s="469">
        <v>-1E-3</v>
      </c>
      <c r="AH21" s="460">
        <v>11</v>
      </c>
    </row>
    <row r="22" spans="1:34" ht="33.75" customHeight="1">
      <c r="A22" s="460">
        <v>12</v>
      </c>
      <c r="B22" s="461">
        <v>55</v>
      </c>
      <c r="C22" s="448" t="s">
        <v>112</v>
      </c>
      <c r="D22" s="449">
        <f t="shared" si="0"/>
        <v>84260.205000000002</v>
      </c>
      <c r="E22" s="450"/>
      <c r="F22" s="451">
        <f t="shared" si="1"/>
        <v>84260.205000000002</v>
      </c>
      <c r="G22" s="462">
        <v>48.018999999999998</v>
      </c>
      <c r="H22" s="463">
        <v>8150.2380000000003</v>
      </c>
      <c r="I22" s="463">
        <v>916.83799999999997</v>
      </c>
      <c r="J22" s="463"/>
      <c r="K22" s="463">
        <v>24797.598999999998</v>
      </c>
      <c r="L22" s="463">
        <v>11502.361999999999</v>
      </c>
      <c r="M22" s="463">
        <v>7544.8950000000013</v>
      </c>
      <c r="N22" s="463">
        <v>5061.2240000000002</v>
      </c>
      <c r="O22" s="463">
        <v>13355.678999999998</v>
      </c>
      <c r="P22" s="463">
        <v>856.12800000000004</v>
      </c>
      <c r="Q22" s="463">
        <v>556.22799999999995</v>
      </c>
      <c r="R22" s="463">
        <v>6246.585</v>
      </c>
      <c r="S22" s="463">
        <v>1496.0819999999999</v>
      </c>
      <c r="T22" s="463">
        <v>629.48199999999997</v>
      </c>
      <c r="U22" s="463">
        <v>490.608</v>
      </c>
      <c r="V22" s="463">
        <v>164.41300000000001</v>
      </c>
      <c r="W22" s="463">
        <v>1701.9659999999999</v>
      </c>
      <c r="X22" s="463">
        <v>325.46100000000001</v>
      </c>
      <c r="Y22" s="464">
        <v>416.39799999999997</v>
      </c>
      <c r="Z22" s="450"/>
      <c r="AA22" s="465">
        <f t="shared" si="2"/>
        <v>0</v>
      </c>
      <c r="AB22" s="466"/>
      <c r="AC22" s="467"/>
      <c r="AD22" s="468"/>
      <c r="AE22" s="468"/>
      <c r="AF22" s="468"/>
      <c r="AG22" s="469"/>
      <c r="AH22" s="460">
        <v>12</v>
      </c>
    </row>
    <row r="23" spans="1:34" ht="33.75" customHeight="1">
      <c r="A23" s="460">
        <v>13</v>
      </c>
      <c r="B23" s="461">
        <v>56</v>
      </c>
      <c r="C23" s="448" t="s">
        <v>54</v>
      </c>
      <c r="D23" s="449">
        <f t="shared" si="0"/>
        <v>478826.55600000016</v>
      </c>
      <c r="E23" s="450"/>
      <c r="F23" s="451">
        <f t="shared" si="1"/>
        <v>444324.22600000014</v>
      </c>
      <c r="G23" s="462">
        <v>556.41999999999996</v>
      </c>
      <c r="H23" s="463">
        <v>10056.741999999998</v>
      </c>
      <c r="I23" s="463">
        <v>1723.3240000000001</v>
      </c>
      <c r="J23" s="463">
        <v>25403.592000000001</v>
      </c>
      <c r="K23" s="463">
        <v>130144.50400000002</v>
      </c>
      <c r="L23" s="463">
        <v>110831.77100000001</v>
      </c>
      <c r="M23" s="463">
        <v>25305.646999999997</v>
      </c>
      <c r="N23" s="463">
        <v>18335.579000000002</v>
      </c>
      <c r="O23" s="463">
        <v>17660.02</v>
      </c>
      <c r="P23" s="463">
        <v>6622.902</v>
      </c>
      <c r="Q23" s="463">
        <v>20400.923999999999</v>
      </c>
      <c r="R23" s="463">
        <v>2979.2339999999995</v>
      </c>
      <c r="S23" s="463">
        <v>13239.012000000001</v>
      </c>
      <c r="T23" s="463">
        <v>6143.2389999999996</v>
      </c>
      <c r="U23" s="463">
        <v>8070.4659999999994</v>
      </c>
      <c r="V23" s="463">
        <v>3843.7039999999997</v>
      </c>
      <c r="W23" s="463">
        <v>24819.508000000002</v>
      </c>
      <c r="X23" s="463">
        <v>7774.4229999999998</v>
      </c>
      <c r="Y23" s="464">
        <v>10413.215</v>
      </c>
      <c r="Z23" s="450"/>
      <c r="AA23" s="465">
        <f t="shared" si="2"/>
        <v>34502.33</v>
      </c>
      <c r="AB23" s="466">
        <v>34502.33</v>
      </c>
      <c r="AC23" s="467"/>
      <c r="AD23" s="468"/>
      <c r="AE23" s="468"/>
      <c r="AF23" s="468"/>
      <c r="AG23" s="469"/>
      <c r="AH23" s="460">
        <v>13</v>
      </c>
    </row>
    <row r="24" spans="1:34" ht="33.75" customHeight="1">
      <c r="A24" s="460">
        <v>14</v>
      </c>
      <c r="B24" s="461">
        <v>61</v>
      </c>
      <c r="C24" s="448" t="s">
        <v>55</v>
      </c>
      <c r="D24" s="449">
        <f t="shared" si="0"/>
        <v>539238.89399999997</v>
      </c>
      <c r="E24" s="450"/>
      <c r="F24" s="451">
        <f t="shared" si="1"/>
        <v>3001.6500000000005</v>
      </c>
      <c r="G24" s="462"/>
      <c r="H24" s="463">
        <v>0.60399999999999998</v>
      </c>
      <c r="I24" s="463">
        <v>207.09399999999999</v>
      </c>
      <c r="J24" s="463">
        <v>1.2629999999999999</v>
      </c>
      <c r="K24" s="463">
        <v>123.515</v>
      </c>
      <c r="L24" s="463">
        <v>78.466999999999999</v>
      </c>
      <c r="M24" s="463">
        <v>1095.4819999999997</v>
      </c>
      <c r="N24" s="463">
        <v>41.891000000000005</v>
      </c>
      <c r="O24" s="463">
        <v>619.76</v>
      </c>
      <c r="P24" s="463">
        <v>23.640999999999998</v>
      </c>
      <c r="Q24" s="463">
        <v>375.03000000000003</v>
      </c>
      <c r="R24" s="463"/>
      <c r="S24" s="463"/>
      <c r="T24" s="463">
        <v>262.42599999999999</v>
      </c>
      <c r="U24" s="463">
        <v>6.6829999999999998</v>
      </c>
      <c r="V24" s="463">
        <v>109.97199999999999</v>
      </c>
      <c r="W24" s="463"/>
      <c r="X24" s="463"/>
      <c r="Y24" s="464">
        <v>55.822000000000003</v>
      </c>
      <c r="Z24" s="450"/>
      <c r="AA24" s="465">
        <f t="shared" si="2"/>
        <v>536237.24399999995</v>
      </c>
      <c r="AB24" s="466">
        <v>125388.15699999998</v>
      </c>
      <c r="AC24" s="467">
        <v>410849.087</v>
      </c>
      <c r="AD24" s="468"/>
      <c r="AE24" s="468"/>
      <c r="AF24" s="468"/>
      <c r="AG24" s="469"/>
      <c r="AH24" s="460">
        <v>14</v>
      </c>
    </row>
    <row r="25" spans="1:34" ht="33.75" customHeight="1">
      <c r="A25" s="460">
        <v>15</v>
      </c>
      <c r="B25" s="461">
        <v>62</v>
      </c>
      <c r="C25" s="448" t="s">
        <v>56</v>
      </c>
      <c r="D25" s="449">
        <f t="shared" si="0"/>
        <v>362879.03099999996</v>
      </c>
      <c r="E25" s="450"/>
      <c r="F25" s="451">
        <f t="shared" si="1"/>
        <v>0</v>
      </c>
      <c r="G25" s="462"/>
      <c r="H25" s="463"/>
      <c r="I25" s="463"/>
      <c r="J25" s="463"/>
      <c r="K25" s="463"/>
      <c r="L25" s="463"/>
      <c r="M25" s="463"/>
      <c r="N25" s="463"/>
      <c r="O25" s="463"/>
      <c r="P25" s="463"/>
      <c r="Q25" s="463"/>
      <c r="R25" s="463"/>
      <c r="S25" s="463"/>
      <c r="T25" s="463"/>
      <c r="U25" s="463"/>
      <c r="V25" s="463"/>
      <c r="W25" s="463"/>
      <c r="X25" s="463"/>
      <c r="Y25" s="464"/>
      <c r="Z25" s="450"/>
      <c r="AA25" s="465">
        <f t="shared" si="2"/>
        <v>362879.03099999996</v>
      </c>
      <c r="AB25" s="466">
        <v>123053.87</v>
      </c>
      <c r="AC25" s="467">
        <v>239825.16099999999</v>
      </c>
      <c r="AD25" s="468"/>
      <c r="AE25" s="468"/>
      <c r="AF25" s="468"/>
      <c r="AG25" s="469"/>
      <c r="AH25" s="460">
        <v>15</v>
      </c>
    </row>
    <row r="26" spans="1:34" ht="33.75" customHeight="1">
      <c r="A26" s="460">
        <v>16</v>
      </c>
      <c r="B26" s="461">
        <v>71</v>
      </c>
      <c r="C26" s="448" t="s">
        <v>57</v>
      </c>
      <c r="D26" s="449">
        <f t="shared" si="0"/>
        <v>80009.911000000007</v>
      </c>
      <c r="E26" s="450"/>
      <c r="F26" s="451">
        <f t="shared" si="1"/>
        <v>1529.1200000000001</v>
      </c>
      <c r="G26" s="462"/>
      <c r="H26" s="463"/>
      <c r="I26" s="463"/>
      <c r="J26" s="463"/>
      <c r="K26" s="463"/>
      <c r="L26" s="463"/>
      <c r="M26" s="463">
        <v>6.5960000000000001</v>
      </c>
      <c r="N26" s="463">
        <v>568.32100000000003</v>
      </c>
      <c r="O26" s="463">
        <v>25.271999999999998</v>
      </c>
      <c r="P26" s="463"/>
      <c r="Q26" s="463"/>
      <c r="R26" s="463"/>
      <c r="S26" s="463"/>
      <c r="T26" s="463"/>
      <c r="U26" s="463"/>
      <c r="V26" s="463">
        <v>70.899999999999991</v>
      </c>
      <c r="W26" s="463">
        <v>1.226</v>
      </c>
      <c r="X26" s="463"/>
      <c r="Y26" s="464">
        <v>856.80500000000006</v>
      </c>
      <c r="Z26" s="450"/>
      <c r="AA26" s="465">
        <f t="shared" si="2"/>
        <v>78480.791000000012</v>
      </c>
      <c r="AB26" s="466">
        <v>72722.40400000001</v>
      </c>
      <c r="AC26" s="467">
        <v>5758.3869999999997</v>
      </c>
      <c r="AD26" s="468"/>
      <c r="AE26" s="468"/>
      <c r="AF26" s="468"/>
      <c r="AG26" s="469"/>
      <c r="AH26" s="460">
        <v>16</v>
      </c>
    </row>
    <row r="27" spans="1:34" ht="33.75" customHeight="1">
      <c r="A27" s="460">
        <v>17</v>
      </c>
      <c r="B27" s="461">
        <v>72</v>
      </c>
      <c r="C27" s="448" t="s">
        <v>58</v>
      </c>
      <c r="D27" s="449">
        <f t="shared" si="0"/>
        <v>430190.16899999999</v>
      </c>
      <c r="E27" s="450"/>
      <c r="F27" s="451">
        <f t="shared" si="1"/>
        <v>63693.773000000016</v>
      </c>
      <c r="G27" s="462">
        <v>250.77800000000005</v>
      </c>
      <c r="H27" s="463">
        <v>1609.127</v>
      </c>
      <c r="I27" s="463">
        <v>813.8309999999999</v>
      </c>
      <c r="J27" s="463">
        <v>6646.9820000000009</v>
      </c>
      <c r="K27" s="463">
        <v>9689.648000000001</v>
      </c>
      <c r="L27" s="463">
        <v>4752.4079999999994</v>
      </c>
      <c r="M27" s="463">
        <v>6272.0050000000001</v>
      </c>
      <c r="N27" s="463">
        <v>2399.6489999999999</v>
      </c>
      <c r="O27" s="463">
        <v>2508.0030000000002</v>
      </c>
      <c r="P27" s="463">
        <v>510.50399999999996</v>
      </c>
      <c r="Q27" s="463">
        <v>698.79600000000005</v>
      </c>
      <c r="R27" s="463">
        <v>333.85300000000007</v>
      </c>
      <c r="S27" s="463">
        <v>2868.7119999999995</v>
      </c>
      <c r="T27" s="463">
        <v>2531.0079999999998</v>
      </c>
      <c r="U27" s="463">
        <v>2362.42</v>
      </c>
      <c r="V27" s="463">
        <v>259.98899999999998</v>
      </c>
      <c r="W27" s="463">
        <v>346.69099999999997</v>
      </c>
      <c r="X27" s="463">
        <v>921.9190000000001</v>
      </c>
      <c r="Y27" s="464">
        <v>17917.450000000004</v>
      </c>
      <c r="Z27" s="450"/>
      <c r="AA27" s="465">
        <f t="shared" si="2"/>
        <v>366496.39600000001</v>
      </c>
      <c r="AB27" s="466">
        <v>366496.39600000001</v>
      </c>
      <c r="AC27" s="467"/>
      <c r="AD27" s="468"/>
      <c r="AE27" s="468"/>
      <c r="AF27" s="468"/>
      <c r="AG27" s="469"/>
      <c r="AH27" s="460">
        <v>17</v>
      </c>
    </row>
    <row r="28" spans="1:34" ht="33.75" customHeight="1">
      <c r="A28" s="460">
        <v>18</v>
      </c>
      <c r="B28" s="461">
        <v>81</v>
      </c>
      <c r="C28" s="448" t="s">
        <v>73</v>
      </c>
      <c r="D28" s="449">
        <f>F28+AA28</f>
        <v>364486.75999999995</v>
      </c>
      <c r="E28" s="450"/>
      <c r="F28" s="451">
        <f>SUM(G28:Y28)</f>
        <v>75331.653999999995</v>
      </c>
      <c r="G28" s="462">
        <v>654.24599999999998</v>
      </c>
      <c r="H28" s="463">
        <v>1242.6109999999999</v>
      </c>
      <c r="I28" s="463">
        <v>684.94799999999998</v>
      </c>
      <c r="J28" s="463">
        <v>7903.3709999999992</v>
      </c>
      <c r="K28" s="463">
        <v>12397.999999999998</v>
      </c>
      <c r="L28" s="463">
        <v>7516.0649999999996</v>
      </c>
      <c r="M28" s="463">
        <v>11567.818000000001</v>
      </c>
      <c r="N28" s="463">
        <v>828.51600000000008</v>
      </c>
      <c r="O28" s="463">
        <v>5571.6290000000017</v>
      </c>
      <c r="P28" s="463">
        <v>2612.2369999999996</v>
      </c>
      <c r="Q28" s="463">
        <v>2196.1780000000003</v>
      </c>
      <c r="R28" s="463">
        <v>86.823999999999984</v>
      </c>
      <c r="S28" s="463">
        <v>969.54700000000003</v>
      </c>
      <c r="T28" s="463">
        <v>1581.799</v>
      </c>
      <c r="U28" s="463">
        <v>4834.4650000000001</v>
      </c>
      <c r="V28" s="463">
        <v>1047.191</v>
      </c>
      <c r="W28" s="463">
        <v>3410.866</v>
      </c>
      <c r="X28" s="463">
        <v>4695.9610000000002</v>
      </c>
      <c r="Y28" s="464">
        <v>5529.3819999999996</v>
      </c>
      <c r="Z28" s="450"/>
      <c r="AA28" s="465">
        <f t="shared" si="2"/>
        <v>289155.10599999997</v>
      </c>
      <c r="AB28" s="466">
        <v>289155.10599999997</v>
      </c>
      <c r="AC28" s="467"/>
      <c r="AD28" s="468"/>
      <c r="AE28" s="468"/>
      <c r="AF28" s="468"/>
      <c r="AG28" s="469"/>
      <c r="AH28" s="460">
        <v>18</v>
      </c>
    </row>
    <row r="29" spans="1:34" ht="33.75" customHeight="1" thickBot="1">
      <c r="A29" s="460">
        <v>19</v>
      </c>
      <c r="B29" s="461">
        <v>93</v>
      </c>
      <c r="C29" s="448" t="s">
        <v>74</v>
      </c>
      <c r="D29" s="449">
        <f>F29+AA29</f>
        <v>658147.84499999997</v>
      </c>
      <c r="E29" s="450"/>
      <c r="F29" s="451">
        <f>SUM(G29:Y29)</f>
        <v>254.04400000000001</v>
      </c>
      <c r="G29" s="462"/>
      <c r="H29" s="463"/>
      <c r="I29" s="463"/>
      <c r="J29" s="463"/>
      <c r="K29" s="463"/>
      <c r="L29" s="463">
        <v>254.04400000000001</v>
      </c>
      <c r="M29" s="463"/>
      <c r="N29" s="463"/>
      <c r="O29" s="463"/>
      <c r="P29" s="463"/>
      <c r="Q29" s="463"/>
      <c r="R29" s="463"/>
      <c r="S29" s="463"/>
      <c r="T29" s="463"/>
      <c r="U29" s="463"/>
      <c r="V29" s="463"/>
      <c r="W29" s="463"/>
      <c r="X29" s="463"/>
      <c r="Y29" s="464"/>
      <c r="Z29" s="450"/>
      <c r="AA29" s="465">
        <f t="shared" si="2"/>
        <v>657893.80099999998</v>
      </c>
      <c r="AB29" s="466">
        <v>1911.0809999999999</v>
      </c>
      <c r="AC29" s="467">
        <v>655982.72</v>
      </c>
      <c r="AD29" s="468"/>
      <c r="AE29" s="468"/>
      <c r="AF29" s="468"/>
      <c r="AG29" s="469"/>
      <c r="AH29" s="460">
        <v>19</v>
      </c>
    </row>
    <row r="30" spans="1:34" ht="33.75" customHeight="1" thickTop="1" thickBot="1">
      <c r="A30" s="470">
        <v>20</v>
      </c>
      <c r="B30" s="471"/>
      <c r="C30" s="472" t="s">
        <v>120</v>
      </c>
      <c r="D30" s="473">
        <f>F30+AA30</f>
        <v>24598412.959999993</v>
      </c>
      <c r="E30" s="474"/>
      <c r="F30" s="475">
        <f t="shared" ref="F30:Y30" si="3">SUM(F11:F29)</f>
        <v>8741366.8499999959</v>
      </c>
      <c r="G30" s="476">
        <f>SUM(G11:G29)</f>
        <v>217208.74100000004</v>
      </c>
      <c r="H30" s="477">
        <f t="shared" si="3"/>
        <v>176427.23000000004</v>
      </c>
      <c r="I30" s="477">
        <f t="shared" si="3"/>
        <v>206492.95600000001</v>
      </c>
      <c r="J30" s="477">
        <f t="shared" si="3"/>
        <v>850428.451</v>
      </c>
      <c r="K30" s="477">
        <f>SUM(K11:K29)</f>
        <v>4987262.102</v>
      </c>
      <c r="L30" s="477">
        <f t="shared" si="3"/>
        <v>496849.891</v>
      </c>
      <c r="M30" s="477">
        <f t="shared" si="3"/>
        <v>459766.48999999993</v>
      </c>
      <c r="N30" s="477">
        <f t="shared" si="3"/>
        <v>179340.12</v>
      </c>
      <c r="O30" s="477">
        <f t="shared" si="3"/>
        <v>207747.92499999999</v>
      </c>
      <c r="P30" s="477">
        <f t="shared" si="3"/>
        <v>132842.25399999999</v>
      </c>
      <c r="Q30" s="477">
        <f t="shared" si="3"/>
        <v>99551.798999999999</v>
      </c>
      <c r="R30" s="477">
        <f t="shared" si="3"/>
        <v>21061.530999999999</v>
      </c>
      <c r="S30" s="477">
        <f t="shared" si="3"/>
        <v>79100.551000000021</v>
      </c>
      <c r="T30" s="477">
        <f t="shared" si="3"/>
        <v>65054.171999999999</v>
      </c>
      <c r="U30" s="477">
        <f t="shared" si="3"/>
        <v>115248.06200000001</v>
      </c>
      <c r="V30" s="477">
        <f t="shared" si="3"/>
        <v>20328.739999999998</v>
      </c>
      <c r="W30" s="477">
        <f t="shared" si="3"/>
        <v>130988.382</v>
      </c>
      <c r="X30" s="477">
        <f t="shared" si="3"/>
        <v>95583.680999999997</v>
      </c>
      <c r="Y30" s="478">
        <f t="shared" si="3"/>
        <v>200083.77199999994</v>
      </c>
      <c r="Z30" s="450"/>
      <c r="AA30" s="475">
        <f>SUM(AB30:AG30)</f>
        <v>15857046.109999999</v>
      </c>
      <c r="AB30" s="479">
        <f t="shared" ref="AB30:AG30" si="4">SUM(AB11:AB29)</f>
        <v>8250895.8319999995</v>
      </c>
      <c r="AC30" s="479">
        <f t="shared" si="4"/>
        <v>1332504.8429999999</v>
      </c>
      <c r="AD30" s="479">
        <f t="shared" si="4"/>
        <v>2830420.0299999993</v>
      </c>
      <c r="AE30" s="479">
        <f t="shared" si="4"/>
        <v>164703.454</v>
      </c>
      <c r="AF30" s="479">
        <f t="shared" si="4"/>
        <v>3270613.1320000011</v>
      </c>
      <c r="AG30" s="479">
        <f t="shared" si="4"/>
        <v>7908.8189999999986</v>
      </c>
      <c r="AH30" s="470">
        <v>20</v>
      </c>
    </row>
    <row r="31" spans="1:34" ht="33.75" customHeight="1" thickTop="1">
      <c r="A31" s="480">
        <v>21</v>
      </c>
      <c r="B31" s="481"/>
      <c r="C31" s="482" t="s">
        <v>121</v>
      </c>
      <c r="D31" s="483">
        <f t="shared" si="0"/>
        <v>98069.719000000012</v>
      </c>
      <c r="E31" s="474"/>
      <c r="F31" s="484"/>
      <c r="G31" s="485"/>
      <c r="H31" s="485"/>
      <c r="I31" s="485"/>
      <c r="J31" s="485"/>
      <c r="K31" s="485"/>
      <c r="L31" s="485"/>
      <c r="M31" s="485"/>
      <c r="N31" s="485"/>
      <c r="O31" s="485"/>
      <c r="P31" s="485"/>
      <c r="Q31" s="485"/>
      <c r="R31" s="485"/>
      <c r="S31" s="485"/>
      <c r="T31" s="485"/>
      <c r="U31" s="485"/>
      <c r="V31" s="485"/>
      <c r="W31" s="485"/>
      <c r="X31" s="485"/>
      <c r="Y31" s="486"/>
      <c r="Z31" s="487"/>
      <c r="AA31" s="451">
        <f>SUM(AB31:AF31)</f>
        <v>98069.719000000012</v>
      </c>
      <c r="AB31" s="488">
        <v>96767.581000000006</v>
      </c>
      <c r="AC31" s="488">
        <v>1302.1379999999999</v>
      </c>
      <c r="AD31" s="488"/>
      <c r="AE31" s="488"/>
      <c r="AF31" s="488"/>
      <c r="AG31" s="489"/>
      <c r="AH31" s="480">
        <v>21</v>
      </c>
    </row>
    <row r="32" spans="1:34" ht="33.75" customHeight="1" thickBot="1">
      <c r="A32" s="490">
        <v>22</v>
      </c>
      <c r="B32" s="491"/>
      <c r="C32" s="492" t="s">
        <v>122</v>
      </c>
      <c r="D32" s="493">
        <f t="shared" si="0"/>
        <v>0</v>
      </c>
      <c r="E32" s="474"/>
      <c r="F32" s="494"/>
      <c r="G32" s="495"/>
      <c r="H32" s="495"/>
      <c r="I32" s="495"/>
      <c r="J32" s="495"/>
      <c r="K32" s="495"/>
      <c r="L32" s="495"/>
      <c r="M32" s="495"/>
      <c r="N32" s="495"/>
      <c r="O32" s="495"/>
      <c r="P32" s="495"/>
      <c r="Q32" s="495"/>
      <c r="R32" s="495"/>
      <c r="S32" s="495"/>
      <c r="T32" s="495"/>
      <c r="U32" s="495"/>
      <c r="V32" s="495"/>
      <c r="W32" s="495"/>
      <c r="X32" s="495"/>
      <c r="Y32" s="496"/>
      <c r="Z32" s="487"/>
      <c r="AA32" s="497">
        <f>SUM(AB32:AF32)</f>
        <v>0</v>
      </c>
      <c r="AB32" s="498">
        <v>-148828.533</v>
      </c>
      <c r="AC32" s="498"/>
      <c r="AD32" s="498"/>
      <c r="AE32" s="498"/>
      <c r="AF32" s="498">
        <v>148828.533</v>
      </c>
      <c r="AG32" s="499"/>
      <c r="AH32" s="490">
        <v>22</v>
      </c>
    </row>
    <row r="33" spans="1:34" ht="33.75" customHeight="1" thickBot="1">
      <c r="A33" s="500">
        <v>23</v>
      </c>
      <c r="B33" s="501"/>
      <c r="C33" s="502" t="s">
        <v>123</v>
      </c>
      <c r="D33" s="503">
        <f t="shared" si="0"/>
        <v>98069.719000000012</v>
      </c>
      <c r="E33" s="474"/>
      <c r="F33" s="504"/>
      <c r="G33" s="505"/>
      <c r="H33" s="505"/>
      <c r="I33" s="505"/>
      <c r="J33" s="505"/>
      <c r="K33" s="505"/>
      <c r="L33" s="505"/>
      <c r="M33" s="505"/>
      <c r="N33" s="505"/>
      <c r="O33" s="505"/>
      <c r="P33" s="505"/>
      <c r="Q33" s="505"/>
      <c r="R33" s="505"/>
      <c r="S33" s="505"/>
      <c r="T33" s="505"/>
      <c r="U33" s="505"/>
      <c r="V33" s="505"/>
      <c r="W33" s="505"/>
      <c r="X33" s="505"/>
      <c r="Y33" s="506"/>
      <c r="Z33" s="487"/>
      <c r="AA33" s="507">
        <f>SUM(AB33:AF33)</f>
        <v>98069.719000000012</v>
      </c>
      <c r="AB33" s="508">
        <f t="shared" ref="AB33:AG33" si="5">AB31+AB32</f>
        <v>-52060.95199999999</v>
      </c>
      <c r="AC33" s="508">
        <f t="shared" si="5"/>
        <v>1302.1379999999999</v>
      </c>
      <c r="AD33" s="508">
        <f t="shared" si="5"/>
        <v>0</v>
      </c>
      <c r="AE33" s="508">
        <f t="shared" si="5"/>
        <v>0</v>
      </c>
      <c r="AF33" s="508">
        <f t="shared" si="5"/>
        <v>148828.533</v>
      </c>
      <c r="AG33" s="509">
        <f t="shared" si="5"/>
        <v>0</v>
      </c>
      <c r="AH33" s="500">
        <v>23</v>
      </c>
    </row>
    <row r="34" spans="1:34" s="157" customFormat="1" ht="14.25" customHeight="1" thickTop="1" thickBot="1">
      <c r="A34" s="510"/>
      <c r="B34" s="510"/>
      <c r="C34" s="511"/>
      <c r="D34" s="511"/>
      <c r="E34" s="512"/>
      <c r="F34" s="511"/>
      <c r="G34" s="511"/>
      <c r="H34" s="511"/>
      <c r="I34" s="511"/>
      <c r="J34" s="511"/>
      <c r="K34" s="511"/>
      <c r="L34" s="511"/>
      <c r="M34" s="511"/>
      <c r="N34" s="511"/>
      <c r="O34" s="511"/>
      <c r="P34" s="511"/>
      <c r="Q34" s="511"/>
      <c r="R34" s="511"/>
      <c r="S34" s="511"/>
      <c r="T34" s="511"/>
      <c r="U34" s="511"/>
      <c r="V34" s="511"/>
      <c r="W34" s="511"/>
      <c r="X34" s="511"/>
      <c r="Y34" s="511"/>
      <c r="Z34" s="512"/>
      <c r="AA34" s="511"/>
      <c r="AB34" s="511"/>
      <c r="AC34" s="511"/>
      <c r="AD34" s="511"/>
      <c r="AE34" s="511"/>
      <c r="AF34" s="511"/>
      <c r="AG34" s="511"/>
      <c r="AH34" s="510"/>
    </row>
    <row r="35" spans="1:34" ht="33.75" customHeight="1" thickTop="1" thickBot="1">
      <c r="A35" s="513">
        <v>24</v>
      </c>
      <c r="B35" s="514"/>
      <c r="C35" s="515" t="s">
        <v>124</v>
      </c>
      <c r="D35" s="809"/>
      <c r="E35" s="516"/>
      <c r="F35" s="517">
        <f>SUM(G35:Y35)</f>
        <v>11941199.469000004</v>
      </c>
      <c r="G35" s="518">
        <f>G36+G42+G45</f>
        <v>392983.98300000001</v>
      </c>
      <c r="H35" s="518">
        <f>H36+H42+H45</f>
        <v>1054690.9510000001</v>
      </c>
      <c r="I35" s="518">
        <f t="shared" ref="I35:Y35" si="6">I36+I42+I45</f>
        <v>252551.74900000001</v>
      </c>
      <c r="J35" s="518">
        <f t="shared" si="6"/>
        <v>1030709.5329999999</v>
      </c>
      <c r="K35" s="518">
        <f t="shared" si="6"/>
        <v>2027254.8560000006</v>
      </c>
      <c r="L35" s="518">
        <f t="shared" si="6"/>
        <v>1785940.496</v>
      </c>
      <c r="M35" s="518">
        <f t="shared" si="6"/>
        <v>700557.06600000034</v>
      </c>
      <c r="N35" s="518">
        <f t="shared" si="6"/>
        <v>324483.76800000004</v>
      </c>
      <c r="O35" s="518">
        <f t="shared" si="6"/>
        <v>390549.67200000008</v>
      </c>
      <c r="P35" s="518">
        <f t="shared" si="6"/>
        <v>1448376.2189999996</v>
      </c>
      <c r="Q35" s="518">
        <f t="shared" si="6"/>
        <v>288855.07100000005</v>
      </c>
      <c r="R35" s="518">
        <f t="shared" si="6"/>
        <v>74350.48</v>
      </c>
      <c r="S35" s="518">
        <f t="shared" si="6"/>
        <v>398773.36699999997</v>
      </c>
      <c r="T35" s="518">
        <f t="shared" si="6"/>
        <v>472158.8189999999</v>
      </c>
      <c r="U35" s="518">
        <f t="shared" si="6"/>
        <v>250108.58199999997</v>
      </c>
      <c r="V35" s="518">
        <f t="shared" si="6"/>
        <v>57353.091000000015</v>
      </c>
      <c r="W35" s="518">
        <f t="shared" si="6"/>
        <v>277822.48200000008</v>
      </c>
      <c r="X35" s="518">
        <f t="shared" si="6"/>
        <v>255615.21099999998</v>
      </c>
      <c r="Y35" s="518">
        <f t="shared" si="6"/>
        <v>458064.07299999997</v>
      </c>
      <c r="Z35" s="450"/>
      <c r="AA35" s="812"/>
      <c r="AB35" s="813"/>
      <c r="AC35" s="813"/>
      <c r="AD35" s="813"/>
      <c r="AE35" s="813"/>
      <c r="AF35" s="813"/>
      <c r="AG35" s="814"/>
      <c r="AH35" s="513">
        <v>24</v>
      </c>
    </row>
    <row r="36" spans="1:34" ht="33.75" customHeight="1">
      <c r="A36" s="480">
        <v>25</v>
      </c>
      <c r="B36" s="447"/>
      <c r="C36" s="519" t="s">
        <v>64</v>
      </c>
      <c r="D36" s="810"/>
      <c r="E36" s="520"/>
      <c r="F36" s="521">
        <f>SUM(G36:Y36)</f>
        <v>3411296.0110000004</v>
      </c>
      <c r="G36" s="522">
        <f>G37+G41</f>
        <v>62689.939000000006</v>
      </c>
      <c r="H36" s="523">
        <f>H37+H41</f>
        <v>59212.975000000006</v>
      </c>
      <c r="I36" s="523">
        <f t="shared" ref="I36:Y36" si="7">I37+I41</f>
        <v>49031.436000000002</v>
      </c>
      <c r="J36" s="523">
        <f t="shared" si="7"/>
        <v>463146.82799999998</v>
      </c>
      <c r="K36" s="523">
        <f t="shared" si="7"/>
        <v>433759.85800000001</v>
      </c>
      <c r="L36" s="523">
        <f t="shared" si="7"/>
        <v>324997.266</v>
      </c>
      <c r="M36" s="523">
        <f t="shared" si="7"/>
        <v>224078.76599999997</v>
      </c>
      <c r="N36" s="523">
        <f t="shared" si="7"/>
        <v>76997.762000000002</v>
      </c>
      <c r="O36" s="523">
        <f t="shared" si="7"/>
        <v>107215.91499999999</v>
      </c>
      <c r="P36" s="523">
        <f t="shared" si="7"/>
        <v>23248.228999999999</v>
      </c>
      <c r="Q36" s="523">
        <f t="shared" si="7"/>
        <v>79378.436000000002</v>
      </c>
      <c r="R36" s="523">
        <f t="shared" si="7"/>
        <v>10562.261</v>
      </c>
      <c r="S36" s="523">
        <f t="shared" si="7"/>
        <v>259466.54600000003</v>
      </c>
      <c r="T36" s="523">
        <f t="shared" si="7"/>
        <v>423996.95300000004</v>
      </c>
      <c r="U36" s="523">
        <f t="shared" si="7"/>
        <v>186757.87599999999</v>
      </c>
      <c r="V36" s="523">
        <f t="shared" si="7"/>
        <v>12751.855000000001</v>
      </c>
      <c r="W36" s="523">
        <f t="shared" si="7"/>
        <v>64865.769</v>
      </c>
      <c r="X36" s="523">
        <f t="shared" si="7"/>
        <v>97659.292000000001</v>
      </c>
      <c r="Y36" s="524">
        <f t="shared" si="7"/>
        <v>451478.04899999994</v>
      </c>
      <c r="Z36" s="525"/>
      <c r="AA36" s="815"/>
      <c r="AB36" s="816"/>
      <c r="AC36" s="816"/>
      <c r="AD36" s="816"/>
      <c r="AE36" s="816"/>
      <c r="AF36" s="816"/>
      <c r="AG36" s="817"/>
      <c r="AH36" s="480">
        <v>25</v>
      </c>
    </row>
    <row r="37" spans="1:34" ht="48" customHeight="1">
      <c r="A37" s="460">
        <v>26</v>
      </c>
      <c r="B37" s="461"/>
      <c r="C37" s="526" t="s">
        <v>125</v>
      </c>
      <c r="D37" s="810"/>
      <c r="E37" s="527"/>
      <c r="F37" s="528">
        <f t="shared" ref="F37:F46" si="8">SUM(G37:Y37)</f>
        <v>3207620.66</v>
      </c>
      <c r="G37" s="529">
        <f>G38+G39+G40</f>
        <v>62588.640000000007</v>
      </c>
      <c r="H37" s="530">
        <f>H38+H39+H40</f>
        <v>53528.052000000003</v>
      </c>
      <c r="I37" s="530">
        <f t="shared" ref="I37:Y37" si="9">I38+I39+I40</f>
        <v>47915.506000000001</v>
      </c>
      <c r="J37" s="530">
        <f t="shared" si="9"/>
        <v>415444.3</v>
      </c>
      <c r="K37" s="530">
        <f t="shared" si="9"/>
        <v>379326.73100000003</v>
      </c>
      <c r="L37" s="530">
        <f t="shared" si="9"/>
        <v>303604.16499999998</v>
      </c>
      <c r="M37" s="530">
        <f t="shared" si="9"/>
        <v>214746.79499999998</v>
      </c>
      <c r="N37" s="530">
        <f t="shared" si="9"/>
        <v>75396.089000000007</v>
      </c>
      <c r="O37" s="530">
        <f t="shared" si="9"/>
        <v>102668.09599999999</v>
      </c>
      <c r="P37" s="530">
        <f t="shared" si="9"/>
        <v>21892.712</v>
      </c>
      <c r="Q37" s="530">
        <f t="shared" si="9"/>
        <v>74304.724000000002</v>
      </c>
      <c r="R37" s="530">
        <f t="shared" si="9"/>
        <v>7525.3829999999998</v>
      </c>
      <c r="S37" s="530">
        <f t="shared" si="9"/>
        <v>236588.98600000003</v>
      </c>
      <c r="T37" s="530">
        <f t="shared" si="9"/>
        <v>415646.64100000006</v>
      </c>
      <c r="U37" s="530">
        <f t="shared" si="9"/>
        <v>182192.606</v>
      </c>
      <c r="V37" s="530">
        <f t="shared" si="9"/>
        <v>12120.861000000001</v>
      </c>
      <c r="W37" s="530">
        <f t="shared" si="9"/>
        <v>61430.192999999999</v>
      </c>
      <c r="X37" s="530">
        <f t="shared" si="9"/>
        <v>96349.426000000007</v>
      </c>
      <c r="Y37" s="531">
        <f t="shared" si="9"/>
        <v>444350.75399999996</v>
      </c>
      <c r="Z37" s="525"/>
      <c r="AA37" s="815"/>
      <c r="AB37" s="816"/>
      <c r="AC37" s="816"/>
      <c r="AD37" s="816"/>
      <c r="AE37" s="816"/>
      <c r="AF37" s="816"/>
      <c r="AG37" s="817"/>
      <c r="AH37" s="460">
        <v>26</v>
      </c>
    </row>
    <row r="38" spans="1:34" ht="33.75" customHeight="1">
      <c r="A38" s="480">
        <v>27</v>
      </c>
      <c r="B38" s="461"/>
      <c r="C38" s="532" t="s">
        <v>126</v>
      </c>
      <c r="D38" s="810"/>
      <c r="E38" s="533"/>
      <c r="F38" s="534">
        <f t="shared" si="8"/>
        <v>1454722.1040000001</v>
      </c>
      <c r="G38" s="535">
        <v>61992.601000000002</v>
      </c>
      <c r="H38" s="536">
        <v>38916.267</v>
      </c>
      <c r="I38" s="536">
        <v>42568.945000000007</v>
      </c>
      <c r="J38" s="536">
        <v>257511.125</v>
      </c>
      <c r="K38" s="536">
        <v>236547.55800000002</v>
      </c>
      <c r="L38" s="536">
        <v>227913.12</v>
      </c>
      <c r="M38" s="536">
        <v>174392.74899999998</v>
      </c>
      <c r="N38" s="536">
        <v>60938.743999999999</v>
      </c>
      <c r="O38" s="536">
        <v>0</v>
      </c>
      <c r="P38" s="536">
        <v>12708.236000000001</v>
      </c>
      <c r="Q38" s="536">
        <v>34299.067999999999</v>
      </c>
      <c r="R38" s="536">
        <v>661.71900000000005</v>
      </c>
      <c r="S38" s="536">
        <v>129055.978</v>
      </c>
      <c r="T38" s="536">
        <v>24792.666000000001</v>
      </c>
      <c r="U38" s="536">
        <v>10560.125</v>
      </c>
      <c r="V38" s="536">
        <v>4430.29</v>
      </c>
      <c r="W38" s="536">
        <v>49542.650999999998</v>
      </c>
      <c r="X38" s="536">
        <v>87890.262000000002</v>
      </c>
      <c r="Y38" s="537">
        <v>0</v>
      </c>
      <c r="Z38" s="525"/>
      <c r="AA38" s="815"/>
      <c r="AB38" s="816"/>
      <c r="AC38" s="816"/>
      <c r="AD38" s="816"/>
      <c r="AE38" s="816"/>
      <c r="AF38" s="816"/>
      <c r="AG38" s="817"/>
      <c r="AH38" s="480">
        <v>27</v>
      </c>
    </row>
    <row r="39" spans="1:34" ht="33.75" customHeight="1">
      <c r="A39" s="460">
        <v>28</v>
      </c>
      <c r="B39" s="461"/>
      <c r="C39" s="532" t="s">
        <v>127</v>
      </c>
      <c r="D39" s="810"/>
      <c r="E39" s="533"/>
      <c r="F39" s="534">
        <f t="shared" si="8"/>
        <v>1337613.2220000001</v>
      </c>
      <c r="G39" s="535">
        <v>419.20499999999998</v>
      </c>
      <c r="H39" s="536">
        <v>10191.612000000001</v>
      </c>
      <c r="I39" s="536">
        <v>4039.6089999999999</v>
      </c>
      <c r="J39" s="536">
        <v>99751.42</v>
      </c>
      <c r="K39" s="536">
        <v>96522.912000000011</v>
      </c>
      <c r="L39" s="536">
        <v>50258.917999999998</v>
      </c>
      <c r="M39" s="536">
        <v>32005.61</v>
      </c>
      <c r="N39" s="536">
        <v>3383.576</v>
      </c>
      <c r="O39" s="536">
        <v>93522.880999999994</v>
      </c>
      <c r="P39" s="536">
        <v>7100.9629999999997</v>
      </c>
      <c r="Q39" s="536">
        <v>31288.886000000002</v>
      </c>
      <c r="R39" s="536">
        <v>4251.0129999999999</v>
      </c>
      <c r="S39" s="536">
        <v>75728.063000000009</v>
      </c>
      <c r="T39" s="536">
        <v>338660.69800000003</v>
      </c>
      <c r="U39" s="536">
        <v>102979.99399999999</v>
      </c>
      <c r="V39" s="536">
        <v>5706.3050000000003</v>
      </c>
      <c r="W39" s="536">
        <v>7180.902</v>
      </c>
      <c r="X39" s="536">
        <v>6225.2000000000007</v>
      </c>
      <c r="Y39" s="537">
        <v>368395.45499999996</v>
      </c>
      <c r="Z39" s="525"/>
      <c r="AA39" s="815"/>
      <c r="AB39" s="816"/>
      <c r="AC39" s="816"/>
      <c r="AD39" s="816"/>
      <c r="AE39" s="816"/>
      <c r="AF39" s="816"/>
      <c r="AG39" s="817"/>
      <c r="AH39" s="460">
        <v>28</v>
      </c>
    </row>
    <row r="40" spans="1:34" ht="33.75" customHeight="1">
      <c r="A40" s="480">
        <v>29</v>
      </c>
      <c r="B40" s="461"/>
      <c r="C40" s="538" t="s">
        <v>128</v>
      </c>
      <c r="D40" s="810"/>
      <c r="E40" s="533"/>
      <c r="F40" s="534">
        <f t="shared" si="8"/>
        <v>415285.33400000003</v>
      </c>
      <c r="G40" s="535">
        <v>176.834</v>
      </c>
      <c r="H40" s="536">
        <v>4420.1730000000007</v>
      </c>
      <c r="I40" s="536">
        <v>1306.952</v>
      </c>
      <c r="J40" s="536">
        <v>58181.754999999997</v>
      </c>
      <c r="K40" s="536">
        <v>46256.260999999999</v>
      </c>
      <c r="L40" s="536">
        <v>25432.127</v>
      </c>
      <c r="M40" s="536">
        <v>8348.4359999999997</v>
      </c>
      <c r="N40" s="536">
        <v>11073.769000000002</v>
      </c>
      <c r="O40" s="536">
        <v>9145.2150000000001</v>
      </c>
      <c r="P40" s="536">
        <v>2083.5129999999999</v>
      </c>
      <c r="Q40" s="536">
        <v>8716.77</v>
      </c>
      <c r="R40" s="536">
        <v>2612.6509999999998</v>
      </c>
      <c r="S40" s="536">
        <v>31804.945000000003</v>
      </c>
      <c r="T40" s="536">
        <v>52193.277000000002</v>
      </c>
      <c r="U40" s="536">
        <v>68652.487000000008</v>
      </c>
      <c r="V40" s="536">
        <v>1984.2660000000001</v>
      </c>
      <c r="W40" s="536">
        <v>4706.6399999999994</v>
      </c>
      <c r="X40" s="536">
        <v>2233.9639999999999</v>
      </c>
      <c r="Y40" s="537">
        <v>75955.298999999985</v>
      </c>
      <c r="Z40" s="525"/>
      <c r="AA40" s="815"/>
      <c r="AB40" s="816"/>
      <c r="AC40" s="816"/>
      <c r="AD40" s="816"/>
      <c r="AE40" s="816"/>
      <c r="AF40" s="816"/>
      <c r="AG40" s="817"/>
      <c r="AH40" s="480">
        <v>29</v>
      </c>
    </row>
    <row r="41" spans="1:34" ht="33.75" customHeight="1">
      <c r="A41" s="460">
        <v>30</v>
      </c>
      <c r="B41" s="461"/>
      <c r="C41" s="526" t="s">
        <v>129</v>
      </c>
      <c r="D41" s="810"/>
      <c r="E41" s="527"/>
      <c r="F41" s="534">
        <f t="shared" si="8"/>
        <v>203675.351</v>
      </c>
      <c r="G41" s="462">
        <v>101.29900000000001</v>
      </c>
      <c r="H41" s="463">
        <v>5684.9230000000007</v>
      </c>
      <c r="I41" s="463">
        <v>1115.93</v>
      </c>
      <c r="J41" s="463">
        <v>47702.527999999998</v>
      </c>
      <c r="K41" s="463">
        <v>54433.127</v>
      </c>
      <c r="L41" s="463">
        <v>21393.100999999999</v>
      </c>
      <c r="M41" s="463">
        <v>9331.9710000000014</v>
      </c>
      <c r="N41" s="463">
        <v>1601.6730000000002</v>
      </c>
      <c r="O41" s="463">
        <v>4547.8190000000004</v>
      </c>
      <c r="P41" s="463">
        <v>1355.5170000000001</v>
      </c>
      <c r="Q41" s="463">
        <v>5073.7119999999995</v>
      </c>
      <c r="R41" s="463">
        <v>3036.8780000000002</v>
      </c>
      <c r="S41" s="463">
        <v>22877.560000000005</v>
      </c>
      <c r="T41" s="463">
        <v>8350.3119999999999</v>
      </c>
      <c r="U41" s="463">
        <v>4565.2699999999986</v>
      </c>
      <c r="V41" s="463">
        <v>630.99399999999991</v>
      </c>
      <c r="W41" s="463">
        <v>3435.576</v>
      </c>
      <c r="X41" s="463">
        <v>1309.866</v>
      </c>
      <c r="Y41" s="464">
        <v>7127.2950000000001</v>
      </c>
      <c r="Z41" s="525"/>
      <c r="AA41" s="815"/>
      <c r="AB41" s="816"/>
      <c r="AC41" s="816"/>
      <c r="AD41" s="816"/>
      <c r="AE41" s="816"/>
      <c r="AF41" s="816"/>
      <c r="AG41" s="817"/>
      <c r="AH41" s="460">
        <v>30</v>
      </c>
    </row>
    <row r="42" spans="1:34" ht="33.75" customHeight="1">
      <c r="A42" s="480">
        <v>31</v>
      </c>
      <c r="B42" s="461"/>
      <c r="C42" s="539" t="s">
        <v>130</v>
      </c>
      <c r="D42" s="810"/>
      <c r="E42" s="520"/>
      <c r="F42" s="528">
        <f t="shared" si="8"/>
        <v>69891.392999999996</v>
      </c>
      <c r="G42" s="529">
        <f>G43-G44</f>
        <v>1465.299</v>
      </c>
      <c r="H42" s="530">
        <f>H43-H44</f>
        <v>827.38699999999994</v>
      </c>
      <c r="I42" s="530">
        <f t="shared" ref="I42:Y42" si="10">I43-I44</f>
        <v>1812.549</v>
      </c>
      <c r="J42" s="530">
        <f t="shared" si="10"/>
        <v>6831.2180000000008</v>
      </c>
      <c r="K42" s="530">
        <f t="shared" si="10"/>
        <v>22160.210999999996</v>
      </c>
      <c r="L42" s="530">
        <f t="shared" si="10"/>
        <v>6711.0789999999997</v>
      </c>
      <c r="M42" s="530">
        <f t="shared" si="10"/>
        <v>-1020.248</v>
      </c>
      <c r="N42" s="530">
        <f t="shared" si="10"/>
        <v>2107.6900000000005</v>
      </c>
      <c r="O42" s="530">
        <f t="shared" si="10"/>
        <v>10959.873000000001</v>
      </c>
      <c r="P42" s="530">
        <f t="shared" si="10"/>
        <v>1447.5439999999999</v>
      </c>
      <c r="Q42" s="530">
        <f t="shared" si="10"/>
        <v>1271.432</v>
      </c>
      <c r="R42" s="530">
        <f t="shared" si="10"/>
        <v>592.47800000000007</v>
      </c>
      <c r="S42" s="530">
        <f t="shared" si="10"/>
        <v>3582.0539999999992</v>
      </c>
      <c r="T42" s="530">
        <f t="shared" si="10"/>
        <v>1722.809</v>
      </c>
      <c r="U42" s="530">
        <f t="shared" si="10"/>
        <v>1391.8310000000001</v>
      </c>
      <c r="V42" s="530">
        <f t="shared" si="10"/>
        <v>518.84699999999998</v>
      </c>
      <c r="W42" s="530">
        <f t="shared" si="10"/>
        <v>2502.4779999999996</v>
      </c>
      <c r="X42" s="530">
        <f t="shared" si="10"/>
        <v>970.64300000000003</v>
      </c>
      <c r="Y42" s="531">
        <f t="shared" si="10"/>
        <v>4036.2190000000005</v>
      </c>
      <c r="Z42" s="525"/>
      <c r="AA42" s="815"/>
      <c r="AB42" s="816"/>
      <c r="AC42" s="816"/>
      <c r="AD42" s="816"/>
      <c r="AE42" s="816"/>
      <c r="AF42" s="816"/>
      <c r="AG42" s="817"/>
      <c r="AH42" s="480">
        <v>31</v>
      </c>
    </row>
    <row r="43" spans="1:34" ht="33.75" customHeight="1">
      <c r="A43" s="460">
        <v>32</v>
      </c>
      <c r="B43" s="461"/>
      <c r="C43" s="532" t="s">
        <v>131</v>
      </c>
      <c r="D43" s="810"/>
      <c r="E43" s="533"/>
      <c r="F43" s="534">
        <f t="shared" si="8"/>
        <v>73844.214999999997</v>
      </c>
      <c r="G43" s="535">
        <v>1465.299</v>
      </c>
      <c r="H43" s="536">
        <v>827.38699999999994</v>
      </c>
      <c r="I43" s="536">
        <v>1812.549</v>
      </c>
      <c r="J43" s="536">
        <v>6831.2180000000008</v>
      </c>
      <c r="K43" s="536">
        <v>22160.210999999996</v>
      </c>
      <c r="L43" s="536">
        <v>6711.0789999999997</v>
      </c>
      <c r="M43" s="536">
        <v>2932.5740000000001</v>
      </c>
      <c r="N43" s="536">
        <v>2107.6900000000005</v>
      </c>
      <c r="O43" s="536">
        <v>10959.873000000001</v>
      </c>
      <c r="P43" s="536">
        <v>1447.5439999999999</v>
      </c>
      <c r="Q43" s="536">
        <v>1271.432</v>
      </c>
      <c r="R43" s="536">
        <v>592.47800000000007</v>
      </c>
      <c r="S43" s="536">
        <v>3582.0539999999992</v>
      </c>
      <c r="T43" s="536">
        <v>1722.809</v>
      </c>
      <c r="U43" s="536">
        <v>1391.8310000000001</v>
      </c>
      <c r="V43" s="536">
        <v>518.84699999999998</v>
      </c>
      <c r="W43" s="536">
        <v>2502.4779999999996</v>
      </c>
      <c r="X43" s="536">
        <v>970.64300000000003</v>
      </c>
      <c r="Y43" s="537">
        <v>4036.2190000000005</v>
      </c>
      <c r="Z43" s="525"/>
      <c r="AA43" s="815"/>
      <c r="AB43" s="816"/>
      <c r="AC43" s="816"/>
      <c r="AD43" s="816"/>
      <c r="AE43" s="816"/>
      <c r="AF43" s="816"/>
      <c r="AG43" s="817"/>
      <c r="AH43" s="460">
        <v>32</v>
      </c>
    </row>
    <row r="44" spans="1:34" ht="33.75" customHeight="1" thickBot="1">
      <c r="A44" s="540">
        <v>33</v>
      </c>
      <c r="B44" s="541"/>
      <c r="C44" s="542" t="s">
        <v>132</v>
      </c>
      <c r="D44" s="810"/>
      <c r="E44" s="533"/>
      <c r="F44" s="543">
        <f t="shared" si="8"/>
        <v>3952.8220000000001</v>
      </c>
      <c r="G44" s="544">
        <v>0</v>
      </c>
      <c r="H44" s="545">
        <v>0</v>
      </c>
      <c r="I44" s="545">
        <v>0</v>
      </c>
      <c r="J44" s="545">
        <v>0</v>
      </c>
      <c r="K44" s="545">
        <v>0</v>
      </c>
      <c r="L44" s="545">
        <v>0</v>
      </c>
      <c r="M44" s="545">
        <v>3952.8220000000001</v>
      </c>
      <c r="N44" s="545">
        <v>0</v>
      </c>
      <c r="O44" s="545">
        <v>0</v>
      </c>
      <c r="P44" s="545">
        <v>0</v>
      </c>
      <c r="Q44" s="545">
        <v>0</v>
      </c>
      <c r="R44" s="545">
        <v>0</v>
      </c>
      <c r="S44" s="545">
        <v>0</v>
      </c>
      <c r="T44" s="545">
        <v>0</v>
      </c>
      <c r="U44" s="545">
        <v>0</v>
      </c>
      <c r="V44" s="545">
        <v>0</v>
      </c>
      <c r="W44" s="545">
        <v>0</v>
      </c>
      <c r="X44" s="545">
        <v>0</v>
      </c>
      <c r="Y44" s="546">
        <v>0</v>
      </c>
      <c r="Z44" s="525"/>
      <c r="AA44" s="815"/>
      <c r="AB44" s="816"/>
      <c r="AC44" s="816"/>
      <c r="AD44" s="816"/>
      <c r="AE44" s="816"/>
      <c r="AF44" s="816"/>
      <c r="AG44" s="817"/>
      <c r="AH44" s="540">
        <v>33</v>
      </c>
    </row>
    <row r="45" spans="1:34" ht="33.75" customHeight="1" thickBot="1">
      <c r="A45" s="547">
        <v>34</v>
      </c>
      <c r="B45" s="548"/>
      <c r="C45" s="549" t="s">
        <v>61</v>
      </c>
      <c r="D45" s="810"/>
      <c r="E45" s="516"/>
      <c r="F45" s="550">
        <f t="shared" si="8"/>
        <v>8460012.0649999995</v>
      </c>
      <c r="G45" s="551">
        <v>328828.745</v>
      </c>
      <c r="H45" s="552">
        <v>994650.58900000004</v>
      </c>
      <c r="I45" s="552">
        <v>201707.76400000002</v>
      </c>
      <c r="J45" s="552">
        <v>560731.48699999996</v>
      </c>
      <c r="K45" s="552">
        <v>1571334.7870000005</v>
      </c>
      <c r="L45" s="552">
        <v>1454232.1510000001</v>
      </c>
      <c r="M45" s="552">
        <v>477498.54800000036</v>
      </c>
      <c r="N45" s="552">
        <v>245378.31600000002</v>
      </c>
      <c r="O45" s="552">
        <v>272373.88400000008</v>
      </c>
      <c r="P45" s="552">
        <v>1423680.4459999995</v>
      </c>
      <c r="Q45" s="552">
        <v>208205.20300000007</v>
      </c>
      <c r="R45" s="552">
        <v>63195.740999999995</v>
      </c>
      <c r="S45" s="552">
        <v>135724.76699999993</v>
      </c>
      <c r="T45" s="552">
        <v>46439.056999999841</v>
      </c>
      <c r="U45" s="552">
        <v>61958.874999999971</v>
      </c>
      <c r="V45" s="552">
        <v>44082.38900000001</v>
      </c>
      <c r="W45" s="552">
        <v>210454.23500000007</v>
      </c>
      <c r="X45" s="552">
        <v>156985.27599999998</v>
      </c>
      <c r="Y45" s="553">
        <v>2549.8050000000753</v>
      </c>
      <c r="Z45" s="525"/>
      <c r="AA45" s="815"/>
      <c r="AB45" s="816"/>
      <c r="AC45" s="816"/>
      <c r="AD45" s="816"/>
      <c r="AE45" s="816"/>
      <c r="AF45" s="816"/>
      <c r="AG45" s="817"/>
      <c r="AH45" s="547">
        <v>34</v>
      </c>
    </row>
    <row r="46" spans="1:34" ht="25" thickBot="1">
      <c r="A46" s="554">
        <v>35</v>
      </c>
      <c r="B46" s="555"/>
      <c r="C46" s="556" t="s">
        <v>62</v>
      </c>
      <c r="D46" s="810"/>
      <c r="E46" s="516"/>
      <c r="F46" s="557">
        <f t="shared" si="8"/>
        <v>20682566.319000006</v>
      </c>
      <c r="G46" s="558">
        <f>G35+G30</f>
        <v>610192.72400000005</v>
      </c>
      <c r="H46" s="558">
        <f>H35+H30</f>
        <v>1231118.1810000001</v>
      </c>
      <c r="I46" s="558">
        <f t="shared" ref="I46:Y46" si="11">I35+I30</f>
        <v>459044.70500000002</v>
      </c>
      <c r="J46" s="558">
        <f t="shared" si="11"/>
        <v>1881137.9839999999</v>
      </c>
      <c r="K46" s="558">
        <f t="shared" si="11"/>
        <v>7014516.9580000006</v>
      </c>
      <c r="L46" s="558">
        <f t="shared" si="11"/>
        <v>2282790.3870000001</v>
      </c>
      <c r="M46" s="558">
        <f t="shared" si="11"/>
        <v>1160323.5560000003</v>
      </c>
      <c r="N46" s="558">
        <f t="shared" si="11"/>
        <v>503823.88800000004</v>
      </c>
      <c r="O46" s="558">
        <f t="shared" si="11"/>
        <v>598297.59700000007</v>
      </c>
      <c r="P46" s="558">
        <f t="shared" si="11"/>
        <v>1581218.4729999995</v>
      </c>
      <c r="Q46" s="558">
        <f t="shared" si="11"/>
        <v>388406.87000000005</v>
      </c>
      <c r="R46" s="558">
        <f t="shared" si="11"/>
        <v>95412.010999999999</v>
      </c>
      <c r="S46" s="558">
        <f t="shared" si="11"/>
        <v>477873.91800000001</v>
      </c>
      <c r="T46" s="558">
        <f t="shared" si="11"/>
        <v>537212.99099999992</v>
      </c>
      <c r="U46" s="558">
        <f t="shared" si="11"/>
        <v>365356.64399999997</v>
      </c>
      <c r="V46" s="558">
        <f t="shared" si="11"/>
        <v>77681.831000000006</v>
      </c>
      <c r="W46" s="558">
        <f t="shared" si="11"/>
        <v>408810.86400000006</v>
      </c>
      <c r="X46" s="558">
        <f t="shared" si="11"/>
        <v>351198.89199999999</v>
      </c>
      <c r="Y46" s="558">
        <f t="shared" si="11"/>
        <v>658147.84499999997</v>
      </c>
      <c r="Z46" s="450"/>
      <c r="AA46" s="818"/>
      <c r="AB46" s="819"/>
      <c r="AC46" s="819"/>
      <c r="AD46" s="819"/>
      <c r="AE46" s="819"/>
      <c r="AF46" s="819"/>
      <c r="AG46" s="820"/>
      <c r="AH46" s="554">
        <v>35</v>
      </c>
    </row>
    <row r="47" spans="1:34" ht="33.75" customHeight="1" thickTop="1" thickBot="1">
      <c r="A47" s="554">
        <v>36</v>
      </c>
      <c r="B47" s="559"/>
      <c r="C47" s="560" t="s">
        <v>133</v>
      </c>
      <c r="D47" s="811"/>
      <c r="E47" s="520"/>
      <c r="F47" s="821"/>
      <c r="G47" s="822"/>
      <c r="H47" s="822"/>
      <c r="I47" s="822"/>
      <c r="J47" s="822"/>
      <c r="K47" s="822"/>
      <c r="L47" s="822"/>
      <c r="M47" s="822"/>
      <c r="N47" s="822"/>
      <c r="O47" s="822"/>
      <c r="P47" s="822"/>
      <c r="Q47" s="822"/>
      <c r="R47" s="822"/>
      <c r="S47" s="822"/>
      <c r="T47" s="822"/>
      <c r="U47" s="822"/>
      <c r="V47" s="822"/>
      <c r="W47" s="822"/>
      <c r="X47" s="822"/>
      <c r="Y47" s="823"/>
      <c r="Z47" s="561"/>
      <c r="AA47" s="562">
        <f>SUM(AB47:AG47)</f>
        <v>15955115.829</v>
      </c>
      <c r="AB47" s="563">
        <f t="shared" ref="AB47:AG47" si="12">AB30+AB33</f>
        <v>8198834.8799999999</v>
      </c>
      <c r="AC47" s="563">
        <f t="shared" si="12"/>
        <v>1333806.9809999999</v>
      </c>
      <c r="AD47" s="563">
        <f t="shared" si="12"/>
        <v>2830420.0299999993</v>
      </c>
      <c r="AE47" s="563">
        <f t="shared" si="12"/>
        <v>164703.454</v>
      </c>
      <c r="AF47" s="563">
        <f t="shared" si="12"/>
        <v>3419441.665000001</v>
      </c>
      <c r="AG47" s="564">
        <f t="shared" si="12"/>
        <v>7908.8189999999986</v>
      </c>
      <c r="AH47" s="554">
        <v>36</v>
      </c>
    </row>
    <row r="48" spans="1:34" ht="15" thickTop="1">
      <c r="A48" s="565"/>
      <c r="B48" s="566"/>
      <c r="C48" s="520"/>
      <c r="D48" s="520"/>
      <c r="E48" s="520"/>
      <c r="F48" s="567">
        <f>F43/(F38+F39)</f>
        <v>2.6445324926566496E-2</v>
      </c>
      <c r="G48" s="567">
        <f>G43/(G38+G39)</f>
        <v>2.3477913778043851E-2</v>
      </c>
      <c r="H48" s="567">
        <f t="shared" ref="H48:Y48" si="13">H43/(H38+H39)</f>
        <v>1.6848355433962032E-2</v>
      </c>
      <c r="I48" s="567">
        <f t="shared" si="13"/>
        <v>3.8888762779467477E-2</v>
      </c>
      <c r="J48" s="567">
        <f t="shared" si="13"/>
        <v>1.9121002454931292E-2</v>
      </c>
      <c r="K48" s="567">
        <f t="shared" si="13"/>
        <v>6.65331003375952E-2</v>
      </c>
      <c r="L48" s="567">
        <f t="shared" si="13"/>
        <v>2.4125641988502092E-2</v>
      </c>
      <c r="M48" s="567">
        <f t="shared" si="13"/>
        <v>1.4208320328748351E-2</v>
      </c>
      <c r="N48" s="567">
        <f t="shared" si="13"/>
        <v>3.2767630272042436E-2</v>
      </c>
      <c r="O48" s="567">
        <f t="shared" si="13"/>
        <v>0.11718921490453231</v>
      </c>
      <c r="P48" s="567">
        <f t="shared" si="13"/>
        <v>7.3074332788519103E-2</v>
      </c>
      <c r="Q48" s="567">
        <f t="shared" si="13"/>
        <v>1.9385145022209414E-2</v>
      </c>
      <c r="R48" s="567">
        <f t="shared" si="13"/>
        <v>0.12060051311571648</v>
      </c>
      <c r="S48" s="567">
        <f t="shared" si="13"/>
        <v>1.7491861096734576E-2</v>
      </c>
      <c r="T48" s="567">
        <f t="shared" si="13"/>
        <v>4.7401102057209182E-3</v>
      </c>
      <c r="U48" s="567">
        <f t="shared" si="13"/>
        <v>1.2258495166805314E-2</v>
      </c>
      <c r="V48" s="567">
        <f t="shared" si="13"/>
        <v>5.1185531236080745E-2</v>
      </c>
      <c r="W48" s="567">
        <f t="shared" si="13"/>
        <v>4.4117088363629119E-2</v>
      </c>
      <c r="X48" s="567">
        <f t="shared" si="13"/>
        <v>1.0313321311645902E-2</v>
      </c>
      <c r="Y48" s="567">
        <f t="shared" si="13"/>
        <v>1.095621280126814E-2</v>
      </c>
      <c r="Z48" s="561"/>
      <c r="AA48" s="561"/>
      <c r="AB48" s="450"/>
      <c r="AC48" s="450"/>
      <c r="AD48" s="450"/>
      <c r="AE48" s="450"/>
      <c r="AF48" s="450"/>
      <c r="AG48" s="450"/>
      <c r="AH48" s="512"/>
    </row>
    <row r="49" spans="1:34">
      <c r="A49" s="512"/>
      <c r="B49" s="566"/>
      <c r="C49" s="520"/>
      <c r="D49" s="520"/>
      <c r="E49" s="520"/>
      <c r="F49" s="520"/>
      <c r="G49" s="561"/>
      <c r="H49" s="561"/>
      <c r="I49" s="561"/>
      <c r="J49" s="561"/>
      <c r="K49" s="561"/>
      <c r="L49" s="561"/>
      <c r="M49" s="561"/>
      <c r="N49" s="561"/>
      <c r="O49" s="561"/>
      <c r="P49" s="561"/>
      <c r="Q49" s="561"/>
      <c r="R49" s="561"/>
      <c r="S49" s="561"/>
      <c r="T49" s="561"/>
      <c r="U49" s="561"/>
      <c r="V49" s="561"/>
      <c r="W49" s="561"/>
      <c r="X49" s="561"/>
      <c r="Y49" s="561"/>
      <c r="Z49" s="561"/>
      <c r="AA49" s="561"/>
      <c r="AB49" s="450"/>
      <c r="AC49" s="450"/>
      <c r="AD49" s="450"/>
      <c r="AE49" s="450"/>
      <c r="AF49" s="450"/>
      <c r="AG49" s="450"/>
      <c r="AH49" s="512"/>
    </row>
    <row r="50" spans="1:34">
      <c r="A50" s="568" t="s">
        <v>134</v>
      </c>
      <c r="B50" s="569"/>
      <c r="C50" s="569"/>
      <c r="D50" s="570"/>
      <c r="E50" s="570"/>
      <c r="F50" s="570"/>
      <c r="G50" s="570"/>
      <c r="H50" s="570"/>
      <c r="I50" s="570"/>
      <c r="J50" s="570"/>
      <c r="K50" s="570"/>
      <c r="L50" s="570"/>
      <c r="M50" s="570"/>
      <c r="N50" s="570"/>
      <c r="O50" s="570"/>
      <c r="P50" s="570"/>
      <c r="Q50" s="570"/>
      <c r="R50" s="570"/>
      <c r="S50" s="570"/>
      <c r="T50" s="570"/>
      <c r="U50" s="570"/>
      <c r="V50" s="570"/>
      <c r="W50" s="570"/>
      <c r="X50" s="570"/>
      <c r="Y50" s="570"/>
      <c r="Z50" s="407"/>
      <c r="AA50" s="406"/>
      <c r="AB50" s="450"/>
      <c r="AC50" s="450"/>
      <c r="AD50" s="450"/>
      <c r="AE50" s="450"/>
      <c r="AF50" s="450"/>
      <c r="AG50" s="450"/>
      <c r="AH50" s="512"/>
    </row>
    <row r="51" spans="1:34" ht="15" thickBot="1">
      <c r="A51" s="569"/>
      <c r="B51" s="569"/>
      <c r="C51" s="569"/>
      <c r="D51" s="570"/>
      <c r="E51" s="570"/>
      <c r="F51" s="570"/>
      <c r="G51" s="570"/>
      <c r="H51" s="570"/>
      <c r="I51" s="570"/>
      <c r="J51" s="570"/>
      <c r="K51" s="570"/>
      <c r="L51" s="570"/>
      <c r="M51" s="570"/>
      <c r="N51" s="570"/>
      <c r="O51" s="570"/>
      <c r="P51" s="570"/>
      <c r="Q51" s="570"/>
      <c r="R51" s="570"/>
      <c r="S51" s="570"/>
      <c r="T51" s="570"/>
      <c r="U51" s="570"/>
      <c r="V51" s="570"/>
      <c r="W51" s="570"/>
      <c r="X51" s="570"/>
      <c r="Y51" s="570"/>
      <c r="Z51" s="407"/>
      <c r="AA51" s="406"/>
      <c r="AB51" s="450"/>
      <c r="AC51" s="450"/>
      <c r="AD51" s="450"/>
      <c r="AE51" s="450"/>
      <c r="AF51" s="450"/>
      <c r="AG51" s="450"/>
      <c r="AH51" s="512"/>
    </row>
    <row r="52" spans="1:34" ht="33.75" customHeight="1" thickTop="1" thickBot="1">
      <c r="A52" s="470"/>
      <c r="B52" s="571"/>
      <c r="C52" s="572"/>
      <c r="D52" s="809"/>
      <c r="E52" s="407"/>
      <c r="F52" s="572"/>
      <c r="G52" s="573">
        <v>1</v>
      </c>
      <c r="H52" s="574">
        <v>2</v>
      </c>
      <c r="I52" s="575">
        <v>3</v>
      </c>
      <c r="J52" s="575">
        <v>4</v>
      </c>
      <c r="K52" s="575">
        <v>5</v>
      </c>
      <c r="L52" s="575">
        <v>6</v>
      </c>
      <c r="M52" s="575">
        <v>7</v>
      </c>
      <c r="N52" s="575">
        <v>8</v>
      </c>
      <c r="O52" s="575">
        <v>9</v>
      </c>
      <c r="P52" s="575">
        <v>10</v>
      </c>
      <c r="Q52" s="575">
        <v>11</v>
      </c>
      <c r="R52" s="575">
        <v>12</v>
      </c>
      <c r="S52" s="575">
        <v>13</v>
      </c>
      <c r="T52" s="575">
        <v>14</v>
      </c>
      <c r="U52" s="575">
        <v>15</v>
      </c>
      <c r="V52" s="575">
        <v>16</v>
      </c>
      <c r="W52" s="575">
        <v>17</v>
      </c>
      <c r="X52" s="575">
        <v>18</v>
      </c>
      <c r="Y52" s="576">
        <v>19</v>
      </c>
      <c r="Z52" s="414"/>
      <c r="AA52" s="577" t="s">
        <v>88</v>
      </c>
      <c r="AB52" s="450"/>
      <c r="AC52" s="450"/>
      <c r="AD52" s="450"/>
      <c r="AE52" s="450"/>
      <c r="AF52" s="450"/>
      <c r="AG52" s="450"/>
      <c r="AH52" s="512"/>
    </row>
    <row r="53" spans="1:34" ht="33.75" customHeight="1" thickTop="1" thickBot="1">
      <c r="A53" s="513">
        <v>37</v>
      </c>
      <c r="B53" s="578"/>
      <c r="C53" s="515" t="s">
        <v>135</v>
      </c>
      <c r="D53" s="810"/>
      <c r="E53" s="407"/>
      <c r="F53" s="517">
        <f>SUM(G53:Y53)</f>
        <v>47439094</v>
      </c>
      <c r="G53" s="518">
        <f>+G54+G59</f>
        <v>6668835</v>
      </c>
      <c r="H53" s="579">
        <f t="shared" ref="H53:Y53" si="14">+H54+H59</f>
        <v>297226</v>
      </c>
      <c r="I53" s="579">
        <f t="shared" si="14"/>
        <v>235055</v>
      </c>
      <c r="J53" s="579">
        <f t="shared" si="14"/>
        <v>6471747</v>
      </c>
      <c r="K53" s="579">
        <f t="shared" si="14"/>
        <v>5692020</v>
      </c>
      <c r="L53" s="579">
        <f t="shared" si="14"/>
        <v>9257404</v>
      </c>
      <c r="M53" s="579">
        <f t="shared" si="14"/>
        <v>2081705</v>
      </c>
      <c r="N53" s="579">
        <f t="shared" si="14"/>
        <v>284724</v>
      </c>
      <c r="O53" s="579">
        <f t="shared" si="14"/>
        <v>372948</v>
      </c>
      <c r="P53" s="579">
        <f t="shared" si="14"/>
        <v>436212</v>
      </c>
      <c r="Q53" s="579">
        <f t="shared" si="14"/>
        <v>663558</v>
      </c>
      <c r="R53" s="579">
        <f t="shared" si="14"/>
        <v>27308</v>
      </c>
      <c r="S53" s="579">
        <f t="shared" si="14"/>
        <v>3442500</v>
      </c>
      <c r="T53" s="579">
        <f t="shared" si="14"/>
        <v>2290051</v>
      </c>
      <c r="U53" s="579">
        <f t="shared" si="14"/>
        <v>1118019</v>
      </c>
      <c r="V53" s="579">
        <f t="shared" si="14"/>
        <v>193149</v>
      </c>
      <c r="W53" s="579">
        <f t="shared" si="14"/>
        <v>2375446</v>
      </c>
      <c r="X53" s="579">
        <f t="shared" si="14"/>
        <v>3288331</v>
      </c>
      <c r="Y53" s="580">
        <f t="shared" si="14"/>
        <v>2242856</v>
      </c>
      <c r="Z53" s="407"/>
      <c r="AA53" s="581">
        <f t="shared" ref="AA53:AA61" si="15">SUM(G53:Y53)</f>
        <v>47439094</v>
      </c>
      <c r="AB53" s="450"/>
      <c r="AC53" s="450"/>
      <c r="AD53" s="450"/>
      <c r="AE53" s="450"/>
      <c r="AF53" s="450"/>
      <c r="AG53" s="450"/>
      <c r="AH53" s="512"/>
    </row>
    <row r="54" spans="1:34" ht="60.5" customHeight="1">
      <c r="A54" s="480">
        <v>38</v>
      </c>
      <c r="B54" s="447"/>
      <c r="C54" s="519" t="s">
        <v>136</v>
      </c>
      <c r="D54" s="810"/>
      <c r="E54" s="407"/>
      <c r="F54" s="521">
        <f>SUM(G54:Y54)</f>
        <v>44651963</v>
      </c>
      <c r="G54" s="522">
        <f t="shared" ref="G54:Y54" si="16">+G55+G58</f>
        <v>6660252</v>
      </c>
      <c r="H54" s="523">
        <f t="shared" si="16"/>
        <v>267497</v>
      </c>
      <c r="I54" s="523">
        <f t="shared" si="16"/>
        <v>230398</v>
      </c>
      <c r="J54" s="523">
        <f t="shared" si="16"/>
        <v>6364143</v>
      </c>
      <c r="K54" s="523">
        <f t="shared" si="16"/>
        <v>4981649</v>
      </c>
      <c r="L54" s="523">
        <f t="shared" si="16"/>
        <v>8419150</v>
      </c>
      <c r="M54" s="523">
        <f t="shared" si="16"/>
        <v>1988480</v>
      </c>
      <c r="N54" s="523">
        <f t="shared" si="16"/>
        <v>207438</v>
      </c>
      <c r="O54" s="523">
        <f t="shared" si="16"/>
        <v>239608</v>
      </c>
      <c r="P54" s="523">
        <f t="shared" si="16"/>
        <v>395425</v>
      </c>
      <c r="Q54" s="523">
        <f t="shared" si="16"/>
        <v>595222</v>
      </c>
      <c r="R54" s="523">
        <f t="shared" si="16"/>
        <v>14456</v>
      </c>
      <c r="S54" s="523">
        <f t="shared" si="16"/>
        <v>3326313</v>
      </c>
      <c r="T54" s="523">
        <f t="shared" si="16"/>
        <v>2236322</v>
      </c>
      <c r="U54" s="523">
        <f t="shared" si="16"/>
        <v>1074188</v>
      </c>
      <c r="V54" s="523">
        <f t="shared" si="16"/>
        <v>160288</v>
      </c>
      <c r="W54" s="523">
        <f t="shared" si="16"/>
        <v>2054149</v>
      </c>
      <c r="X54" s="523">
        <f t="shared" si="16"/>
        <v>3194129</v>
      </c>
      <c r="Y54" s="524">
        <f t="shared" si="16"/>
        <v>2242856</v>
      </c>
      <c r="Z54" s="407"/>
      <c r="AA54" s="582">
        <f t="shared" si="15"/>
        <v>44651963</v>
      </c>
      <c r="AB54" s="450"/>
      <c r="AC54" s="450"/>
      <c r="AD54" s="450"/>
      <c r="AE54" s="450"/>
      <c r="AF54" s="450"/>
      <c r="AG54" s="450"/>
      <c r="AH54" s="512"/>
    </row>
    <row r="55" spans="1:34" ht="33.75" customHeight="1">
      <c r="A55" s="460">
        <v>39</v>
      </c>
      <c r="B55" s="461"/>
      <c r="C55" s="526" t="s">
        <v>137</v>
      </c>
      <c r="D55" s="810"/>
      <c r="E55" s="407"/>
      <c r="F55" s="528">
        <f t="shared" ref="F55:F61" si="17">SUM(G55:Y55)</f>
        <v>34378253</v>
      </c>
      <c r="G55" s="529">
        <f t="shared" ref="G55:Y55" si="18">+G56+G57</f>
        <v>2558889</v>
      </c>
      <c r="H55" s="530">
        <f t="shared" si="18"/>
        <v>257311</v>
      </c>
      <c r="I55" s="530">
        <f t="shared" si="18"/>
        <v>229350</v>
      </c>
      <c r="J55" s="530">
        <f t="shared" si="18"/>
        <v>6145436</v>
      </c>
      <c r="K55" s="530">
        <f t="shared" si="18"/>
        <v>4312031</v>
      </c>
      <c r="L55" s="530">
        <f t="shared" si="18"/>
        <v>5167461</v>
      </c>
      <c r="M55" s="530">
        <f t="shared" si="18"/>
        <v>1953159</v>
      </c>
      <c r="N55" s="530">
        <f t="shared" si="18"/>
        <v>204735</v>
      </c>
      <c r="O55" s="530">
        <f t="shared" si="18"/>
        <v>239608</v>
      </c>
      <c r="P55" s="530">
        <f t="shared" si="18"/>
        <v>342391</v>
      </c>
      <c r="Q55" s="530">
        <f t="shared" si="18"/>
        <v>530776</v>
      </c>
      <c r="R55" s="530">
        <f t="shared" si="18"/>
        <v>14452</v>
      </c>
      <c r="S55" s="530">
        <f t="shared" si="18"/>
        <v>2899851</v>
      </c>
      <c r="T55" s="530">
        <f t="shared" si="18"/>
        <v>2198153</v>
      </c>
      <c r="U55" s="530">
        <f t="shared" si="18"/>
        <v>979287</v>
      </c>
      <c r="V55" s="530">
        <f t="shared" si="18"/>
        <v>107526</v>
      </c>
      <c r="W55" s="530">
        <f t="shared" si="18"/>
        <v>1287587</v>
      </c>
      <c r="X55" s="530">
        <f t="shared" si="18"/>
        <v>2707394</v>
      </c>
      <c r="Y55" s="531">
        <f t="shared" si="18"/>
        <v>2242856</v>
      </c>
      <c r="Z55" s="407"/>
      <c r="AA55" s="583">
        <f t="shared" si="15"/>
        <v>34378253</v>
      </c>
      <c r="AB55" s="450"/>
      <c r="AC55" s="450"/>
      <c r="AD55" s="450"/>
      <c r="AE55" s="450"/>
      <c r="AF55" s="450"/>
      <c r="AG55" s="450"/>
      <c r="AH55" s="512"/>
    </row>
    <row r="56" spans="1:34" ht="33.75" customHeight="1">
      <c r="A56" s="480">
        <v>40</v>
      </c>
      <c r="B56" s="461"/>
      <c r="C56" s="532" t="s">
        <v>138</v>
      </c>
      <c r="D56" s="810"/>
      <c r="E56" s="407"/>
      <c r="F56" s="534">
        <f t="shared" si="17"/>
        <v>26040038</v>
      </c>
      <c r="G56" s="535">
        <v>2551995</v>
      </c>
      <c r="H56" s="536">
        <v>215751</v>
      </c>
      <c r="I56" s="536">
        <v>201250</v>
      </c>
      <c r="J56" s="536">
        <v>5254341</v>
      </c>
      <c r="K56" s="536">
        <v>3758010</v>
      </c>
      <c r="L56" s="536">
        <v>4589169</v>
      </c>
      <c r="M56" s="536">
        <v>1679751</v>
      </c>
      <c r="N56" s="536">
        <v>183835</v>
      </c>
      <c r="O56" s="536">
        <v>0</v>
      </c>
      <c r="P56" s="536">
        <v>244518</v>
      </c>
      <c r="Q56" s="536">
        <v>347053</v>
      </c>
      <c r="R56" s="536">
        <v>3086</v>
      </c>
      <c r="S56" s="536">
        <v>2458500</v>
      </c>
      <c r="T56" s="536">
        <v>444327</v>
      </c>
      <c r="U56" s="536">
        <v>217579</v>
      </c>
      <c r="V56" s="536">
        <v>78441</v>
      </c>
      <c r="W56" s="536">
        <v>1202415</v>
      </c>
      <c r="X56" s="536">
        <v>2610017</v>
      </c>
      <c r="Y56" s="537">
        <v>0</v>
      </c>
      <c r="Z56" s="407"/>
      <c r="AA56" s="583">
        <f t="shared" si="15"/>
        <v>26040038</v>
      </c>
      <c r="AB56" s="450"/>
      <c r="AC56" s="450"/>
      <c r="AD56" s="450"/>
      <c r="AE56" s="450"/>
      <c r="AF56" s="450"/>
      <c r="AG56" s="450"/>
      <c r="AH56" s="512"/>
    </row>
    <row r="57" spans="1:34" ht="33.75" customHeight="1">
      <c r="A57" s="460">
        <v>41</v>
      </c>
      <c r="B57" s="461"/>
      <c r="C57" s="532" t="s">
        <v>139</v>
      </c>
      <c r="D57" s="810"/>
      <c r="E57" s="407"/>
      <c r="F57" s="534">
        <f t="shared" si="17"/>
        <v>8338215</v>
      </c>
      <c r="G57" s="535">
        <v>6894</v>
      </c>
      <c r="H57" s="536">
        <v>41560</v>
      </c>
      <c r="I57" s="536">
        <v>28100</v>
      </c>
      <c r="J57" s="536">
        <v>891095</v>
      </c>
      <c r="K57" s="536">
        <v>554021</v>
      </c>
      <c r="L57" s="536">
        <v>578292</v>
      </c>
      <c r="M57" s="536">
        <v>273408</v>
      </c>
      <c r="N57" s="536">
        <v>20900</v>
      </c>
      <c r="O57" s="536">
        <v>239608</v>
      </c>
      <c r="P57" s="536">
        <v>97873</v>
      </c>
      <c r="Q57" s="536">
        <v>183723</v>
      </c>
      <c r="R57" s="536">
        <v>11366</v>
      </c>
      <c r="S57" s="536">
        <v>441351</v>
      </c>
      <c r="T57" s="536">
        <v>1753826</v>
      </c>
      <c r="U57" s="536">
        <v>761708</v>
      </c>
      <c r="V57" s="536">
        <v>29085</v>
      </c>
      <c r="W57" s="536">
        <v>85172</v>
      </c>
      <c r="X57" s="536">
        <v>97377</v>
      </c>
      <c r="Y57" s="537">
        <v>2242856</v>
      </c>
      <c r="Z57" s="407"/>
      <c r="AA57" s="583">
        <f t="shared" si="15"/>
        <v>8338215</v>
      </c>
      <c r="AB57" s="450"/>
      <c r="AC57" s="450"/>
      <c r="AD57" s="450"/>
      <c r="AE57" s="450"/>
      <c r="AF57" s="450"/>
      <c r="AG57" s="450"/>
      <c r="AH57" s="512"/>
    </row>
    <row r="58" spans="1:34" ht="35" customHeight="1">
      <c r="A58" s="480">
        <v>42</v>
      </c>
      <c r="B58" s="461"/>
      <c r="C58" s="526" t="s">
        <v>140</v>
      </c>
      <c r="D58" s="810"/>
      <c r="E58" s="407"/>
      <c r="F58" s="534">
        <f t="shared" si="17"/>
        <v>10273710</v>
      </c>
      <c r="G58" s="462">
        <v>4101363</v>
      </c>
      <c r="H58" s="463">
        <v>10186</v>
      </c>
      <c r="I58" s="463">
        <v>1048</v>
      </c>
      <c r="J58" s="463">
        <v>218707</v>
      </c>
      <c r="K58" s="463">
        <v>669618</v>
      </c>
      <c r="L58" s="463">
        <v>3251689</v>
      </c>
      <c r="M58" s="463">
        <v>35321</v>
      </c>
      <c r="N58" s="463">
        <v>2703</v>
      </c>
      <c r="O58" s="463">
        <v>0</v>
      </c>
      <c r="P58" s="463">
        <v>53034</v>
      </c>
      <c r="Q58" s="463">
        <v>64446</v>
      </c>
      <c r="R58" s="463">
        <v>4</v>
      </c>
      <c r="S58" s="463">
        <v>426462</v>
      </c>
      <c r="T58" s="463">
        <v>38169</v>
      </c>
      <c r="U58" s="463">
        <v>94901</v>
      </c>
      <c r="V58" s="463">
        <v>52762</v>
      </c>
      <c r="W58" s="463">
        <v>766562</v>
      </c>
      <c r="X58" s="463">
        <v>486735</v>
      </c>
      <c r="Y58" s="464">
        <v>0</v>
      </c>
      <c r="Z58" s="407"/>
      <c r="AA58" s="583">
        <f t="shared" si="15"/>
        <v>10273710</v>
      </c>
      <c r="AB58" s="450"/>
      <c r="AC58" s="450"/>
      <c r="AD58" s="450"/>
      <c r="AE58" s="450"/>
      <c r="AF58" s="450"/>
      <c r="AG58" s="450"/>
      <c r="AH58" s="512"/>
    </row>
    <row r="59" spans="1:34" ht="33.75" customHeight="1">
      <c r="A59" s="460">
        <v>43</v>
      </c>
      <c r="B59" s="461"/>
      <c r="C59" s="539" t="s">
        <v>141</v>
      </c>
      <c r="D59" s="810"/>
      <c r="E59" s="407"/>
      <c r="F59" s="528">
        <f t="shared" si="17"/>
        <v>2787131</v>
      </c>
      <c r="G59" s="529">
        <f t="shared" ref="G59:Y59" si="19">+G60+G61</f>
        <v>8583</v>
      </c>
      <c r="H59" s="530">
        <f t="shared" si="19"/>
        <v>29729</v>
      </c>
      <c r="I59" s="530">
        <f t="shared" si="19"/>
        <v>4657</v>
      </c>
      <c r="J59" s="530">
        <f t="shared" si="19"/>
        <v>107604</v>
      </c>
      <c r="K59" s="530">
        <f t="shared" si="19"/>
        <v>710371</v>
      </c>
      <c r="L59" s="530">
        <f t="shared" si="19"/>
        <v>838254</v>
      </c>
      <c r="M59" s="530">
        <f t="shared" si="19"/>
        <v>93225</v>
      </c>
      <c r="N59" s="530">
        <f t="shared" si="19"/>
        <v>77286</v>
      </c>
      <c r="O59" s="530">
        <f t="shared" si="19"/>
        <v>133340</v>
      </c>
      <c r="P59" s="530">
        <f t="shared" si="19"/>
        <v>40787</v>
      </c>
      <c r="Q59" s="530">
        <f t="shared" si="19"/>
        <v>68336</v>
      </c>
      <c r="R59" s="530">
        <f t="shared" si="19"/>
        <v>12852</v>
      </c>
      <c r="S59" s="530">
        <f t="shared" si="19"/>
        <v>116187</v>
      </c>
      <c r="T59" s="530">
        <f t="shared" si="19"/>
        <v>53729</v>
      </c>
      <c r="U59" s="530">
        <f t="shared" si="19"/>
        <v>43831</v>
      </c>
      <c r="V59" s="530">
        <f t="shared" si="19"/>
        <v>32861</v>
      </c>
      <c r="W59" s="530">
        <f t="shared" si="19"/>
        <v>321297</v>
      </c>
      <c r="X59" s="530">
        <f t="shared" si="19"/>
        <v>94202</v>
      </c>
      <c r="Y59" s="531">
        <f t="shared" si="19"/>
        <v>0</v>
      </c>
      <c r="Z59" s="407"/>
      <c r="AA59" s="583">
        <f t="shared" si="15"/>
        <v>2787131</v>
      </c>
      <c r="AB59" s="450"/>
      <c r="AC59" s="450"/>
      <c r="AD59" s="450"/>
      <c r="AE59" s="450"/>
      <c r="AF59" s="450"/>
      <c r="AG59" s="450"/>
      <c r="AH59" s="512"/>
    </row>
    <row r="60" spans="1:34" ht="33.75" customHeight="1">
      <c r="A60" s="480">
        <v>44</v>
      </c>
      <c r="B60" s="541"/>
      <c r="C60" s="532" t="s">
        <v>142</v>
      </c>
      <c r="D60" s="810"/>
      <c r="E60" s="407"/>
      <c r="F60" s="534">
        <f t="shared" si="17"/>
        <v>2405601</v>
      </c>
      <c r="G60" s="535">
        <v>8358</v>
      </c>
      <c r="H60" s="536">
        <v>29229</v>
      </c>
      <c r="I60" s="536">
        <v>2653</v>
      </c>
      <c r="J60" s="536">
        <v>102523</v>
      </c>
      <c r="K60" s="536">
        <v>675440</v>
      </c>
      <c r="L60" s="536">
        <v>736073</v>
      </c>
      <c r="M60" s="536">
        <v>75702</v>
      </c>
      <c r="N60" s="536">
        <v>71000</v>
      </c>
      <c r="O60" s="536">
        <v>133340</v>
      </c>
      <c r="P60" s="536">
        <v>22481</v>
      </c>
      <c r="Q60" s="536">
        <v>46821</v>
      </c>
      <c r="R60" s="536">
        <v>12711</v>
      </c>
      <c r="S60" s="536">
        <v>103339</v>
      </c>
      <c r="T60" s="536">
        <v>16696</v>
      </c>
      <c r="U60" s="536">
        <v>26565</v>
      </c>
      <c r="V60" s="536">
        <v>19779</v>
      </c>
      <c r="W60" s="536">
        <v>304773</v>
      </c>
      <c r="X60" s="536">
        <v>18118</v>
      </c>
      <c r="Y60" s="537">
        <v>0</v>
      </c>
      <c r="Z60" s="407"/>
      <c r="AA60" s="583">
        <f t="shared" si="15"/>
        <v>2405601</v>
      </c>
      <c r="AB60" s="450"/>
      <c r="AC60" s="450"/>
      <c r="AD60" s="450"/>
      <c r="AE60" s="450"/>
      <c r="AF60" s="450"/>
      <c r="AG60" s="450"/>
      <c r="AH60" s="512"/>
    </row>
    <row r="61" spans="1:34" ht="33.75" customHeight="1" thickBot="1">
      <c r="A61" s="584">
        <v>45</v>
      </c>
      <c r="B61" s="585"/>
      <c r="C61" s="586" t="s">
        <v>143</v>
      </c>
      <c r="D61" s="811"/>
      <c r="E61" s="587"/>
      <c r="F61" s="588">
        <f t="shared" si="17"/>
        <v>381530</v>
      </c>
      <c r="G61" s="589">
        <v>225</v>
      </c>
      <c r="H61" s="590">
        <v>500</v>
      </c>
      <c r="I61" s="590">
        <v>2004</v>
      </c>
      <c r="J61" s="590">
        <v>5081</v>
      </c>
      <c r="K61" s="590">
        <v>34931</v>
      </c>
      <c r="L61" s="590">
        <v>102181</v>
      </c>
      <c r="M61" s="590">
        <v>17523</v>
      </c>
      <c r="N61" s="590">
        <v>6286</v>
      </c>
      <c r="O61" s="590">
        <v>0</v>
      </c>
      <c r="P61" s="590">
        <v>18306</v>
      </c>
      <c r="Q61" s="590">
        <v>21515</v>
      </c>
      <c r="R61" s="590">
        <v>141</v>
      </c>
      <c r="S61" s="590">
        <v>12848</v>
      </c>
      <c r="T61" s="590">
        <v>37033</v>
      </c>
      <c r="U61" s="590">
        <v>17266</v>
      </c>
      <c r="V61" s="590">
        <v>13082</v>
      </c>
      <c r="W61" s="590">
        <v>16524</v>
      </c>
      <c r="X61" s="590">
        <v>76084</v>
      </c>
      <c r="Y61" s="591">
        <v>0</v>
      </c>
      <c r="Z61" s="407"/>
      <c r="AA61" s="592">
        <f t="shared" si="15"/>
        <v>381530</v>
      </c>
      <c r="AB61" s="450"/>
      <c r="AC61" s="450"/>
      <c r="AD61" s="450"/>
      <c r="AE61" s="450"/>
      <c r="AF61" s="450"/>
      <c r="AG61" s="450"/>
      <c r="AH61" s="512"/>
    </row>
    <row r="62" spans="1:34" ht="15" thickTop="1">
      <c r="A62" s="593"/>
      <c r="B62" s="566"/>
      <c r="C62" s="520"/>
      <c r="D62" s="520"/>
      <c r="E62" s="520"/>
      <c r="F62" s="520"/>
      <c r="G62" s="561"/>
      <c r="H62" s="561"/>
      <c r="I62" s="561"/>
      <c r="J62" s="561"/>
      <c r="K62" s="561"/>
      <c r="L62" s="561"/>
      <c r="M62" s="561"/>
      <c r="N62" s="561"/>
      <c r="O62" s="561"/>
      <c r="P62" s="561"/>
      <c r="Q62" s="561"/>
      <c r="R62" s="561"/>
      <c r="S62" s="561"/>
      <c r="T62" s="561"/>
      <c r="U62" s="561"/>
      <c r="V62" s="561"/>
      <c r="W62" s="561"/>
      <c r="X62" s="561"/>
      <c r="Y62" s="561"/>
      <c r="Z62" s="561"/>
      <c r="AA62" s="561"/>
      <c r="AB62" s="450"/>
      <c r="AC62" s="450"/>
      <c r="AD62" s="450"/>
      <c r="AE62" s="450"/>
      <c r="AF62" s="450"/>
      <c r="AG62" s="450"/>
      <c r="AH62" s="512"/>
    </row>
    <row r="63" spans="1:34">
      <c r="A63" s="594" t="s">
        <v>96</v>
      </c>
      <c r="B63" s="566"/>
      <c r="C63" s="520"/>
      <c r="D63" s="520"/>
      <c r="E63" s="520"/>
      <c r="F63" s="520"/>
      <c r="G63" s="561"/>
      <c r="H63" s="561"/>
      <c r="I63" s="561"/>
      <c r="J63" s="561"/>
      <c r="K63" s="561"/>
      <c r="L63" s="561"/>
      <c r="M63" s="561"/>
      <c r="N63" s="561"/>
      <c r="O63" s="561"/>
      <c r="P63" s="561"/>
      <c r="Q63" s="561"/>
      <c r="R63" s="561"/>
      <c r="S63" s="561"/>
      <c r="T63" s="561"/>
      <c r="U63" s="561"/>
      <c r="V63" s="561"/>
      <c r="W63" s="561"/>
      <c r="X63" s="561"/>
      <c r="Y63" s="561"/>
      <c r="Z63" s="561"/>
      <c r="AA63" s="561"/>
      <c r="AB63" s="450"/>
      <c r="AC63" s="450"/>
      <c r="AD63" s="450"/>
      <c r="AE63" s="450"/>
      <c r="AF63" s="450"/>
      <c r="AG63" s="450"/>
      <c r="AH63" s="512"/>
    </row>
  </sheetData>
  <sheetProtection password="CD86" sheet="1" objects="1" scenarios="1"/>
  <mergeCells count="10">
    <mergeCell ref="A7:A9"/>
    <mergeCell ref="B7:B9"/>
    <mergeCell ref="C7:C10"/>
    <mergeCell ref="F7:Y7"/>
    <mergeCell ref="AA7:AG7"/>
    <mergeCell ref="AH7:AH9"/>
    <mergeCell ref="D35:D47"/>
    <mergeCell ref="AA35:AG46"/>
    <mergeCell ref="F47:Y47"/>
    <mergeCell ref="D52:D6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Principal T</vt:lpstr>
      <vt:lpstr>Agropecuario</vt:lpstr>
      <vt:lpstr>Construcción</vt:lpstr>
      <vt:lpstr>Ind.Manufacturera</vt:lpstr>
      <vt:lpstr>Comercio</vt:lpstr>
      <vt:lpstr>Servicios</vt:lpstr>
      <vt:lpstr>ENOE 1-14</vt:lpstr>
      <vt:lpstr>ENOE 1-14 Ocupación Informal </vt:lpstr>
      <vt:lpstr>Utilización ByS 2008</vt:lpstr>
      <vt:lpstr>Valores en precios 2014</vt:lpstr>
      <vt:lpstr>Efecto piramidado </vt:lpstr>
      <vt:lpstr>Informal y Formal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Mendoza</dc:creator>
  <cp:lastModifiedBy>ASPEN INSTITUTE  MEXICO</cp:lastModifiedBy>
  <dcterms:created xsi:type="dcterms:W3CDTF">2014-08-18T19:38:06Z</dcterms:created>
  <dcterms:modified xsi:type="dcterms:W3CDTF">2014-12-10T17:03:43Z</dcterms:modified>
</cp:coreProperties>
</file>